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myTab1" Type="http://schemas.microsoft.com/office/2006/relationships/ui/extensibility" Target="OriginalRibbon/OriginalRibbon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edakei/Desktop/"/>
    </mc:Choice>
  </mc:AlternateContent>
  <xr:revisionPtr revIDLastSave="0" documentId="13_ncr:1_{3681043D-5EFD-A845-878F-63EFD3A41825}" xr6:coauthVersionLast="47" xr6:coauthVersionMax="47" xr10:uidLastSave="{00000000-0000-0000-0000-000000000000}"/>
  <bookViews>
    <workbookView xWindow="0" yWindow="0" windowWidth="35840" windowHeight="22400" tabRatio="643" activeTab="17" xr2:uid="{00000000-000D-0000-FFFF-FFFF00000000}"/>
  </bookViews>
  <sheets>
    <sheet name="表紙" sheetId="6" r:id="rId1"/>
    <sheet name="資産管理明細書" sheetId="33" r:id="rId2"/>
    <sheet name="資産クラス" sheetId="35" r:id="rId3"/>
    <sheet name="変更諸経費表" sheetId="37" r:id="rId4"/>
    <sheet name="変更諸経費表 (東梅田)" sheetId="41" r:id="rId5"/>
    <sheet name="工事1" sheetId="1" r:id="rId6"/>
    <sheet name="資産クラス一覧表" sheetId="36" state="hidden" r:id="rId7"/>
    <sheet name="工事2" sheetId="42" r:id="rId8"/>
    <sheet name="工事3" sheetId="44" r:id="rId9"/>
    <sheet name="小運搬 (1)" sheetId="45" r:id="rId10"/>
    <sheet name="小運搬 (3)" sheetId="51" r:id="rId11"/>
    <sheet name="変更諸経費表 (堺筋本町)" sheetId="40" r:id="rId12"/>
    <sheet name="工事4" sheetId="34" r:id="rId13"/>
    <sheet name="工事5" sheetId="43" r:id="rId14"/>
    <sheet name="小運搬 (5)" sheetId="46" r:id="rId15"/>
    <sheet name="小運搬 (6)" sheetId="47" r:id="rId16"/>
    <sheet name="工事6" sheetId="49" r:id="rId17"/>
    <sheet name="工事7" sheetId="50" r:id="rId18"/>
    <sheet name="代価" sheetId="31" r:id="rId19"/>
    <sheet name="見積比較" sheetId="3" r:id="rId20"/>
    <sheet name="見積類似" sheetId="32" r:id="rId21"/>
    <sheet name="小運搬" sheetId="30" r:id="rId22"/>
    <sheet name="代価一覧" sheetId="7" r:id="rId23"/>
    <sheet name="変更諸経費表(専業)元" sheetId="38" state="hidden" r:id="rId24"/>
    <sheet name="変更諸経費表(専業)改" sheetId="39" r:id="rId25"/>
    <sheet name="work" sheetId="8" r:id="rId26"/>
    <sheet name="新規シート" sheetId="9" state="hidden" r:id="rId27"/>
  </sheets>
  <externalReferences>
    <externalReference r:id="rId28"/>
    <externalReference r:id="rId29"/>
    <externalReference r:id="rId30"/>
  </externalReferences>
  <definedNames>
    <definedName name="_xlnm.Print_Area" localSheetId="19">見積比較!$A:$O</definedName>
    <definedName name="_xlnm.Print_Area" localSheetId="20">見積類似!$A:$T</definedName>
    <definedName name="_xlnm.Print_Area" localSheetId="5">工事1!$A$3:$L$140</definedName>
    <definedName name="_xlnm.Print_Area" localSheetId="7">工事2!$A$3:$L$117</definedName>
    <definedName name="_xlnm.Print_Area" localSheetId="8">工事3!$A$3:$L$94</definedName>
    <definedName name="_xlnm.Print_Area" localSheetId="12">工事4!$A$3:$L$163</definedName>
    <definedName name="_xlnm.Print_Area" localSheetId="13">工事5!$A$3:$L$163</definedName>
    <definedName name="_xlnm.Print_Area" localSheetId="16">工事6!$A$3:$L$25</definedName>
    <definedName name="_xlnm.Print_Area" localSheetId="17">工事7!$A$3:$L$25</definedName>
    <definedName name="_xlnm.Print_Area" localSheetId="2">資産クラス!$A$1:$N$330</definedName>
    <definedName name="_xlnm.Print_Area" localSheetId="1">資産管理明細書!$A$3:$L$25</definedName>
    <definedName name="_xlnm.Print_Area" localSheetId="18">代価!$A:$L</definedName>
    <definedName name="_xlnm.Print_Area" localSheetId="3">変更諸経費表!$A$1:$Q$471</definedName>
    <definedName name="_xlnm.Print_Area" localSheetId="11">'変更諸経費表 (堺筋本町)'!$A$1:$N$471</definedName>
    <definedName name="_xlnm.Print_Area" localSheetId="4">'変更諸経費表 (東梅田)'!$A$1:$N$471</definedName>
    <definedName name="_xlnm.Print_Area" localSheetId="24">'変更諸経費表(専業)改'!$A$1:$N$469</definedName>
    <definedName name="_xlnm.Print_Area" localSheetId="23">'変更諸経費表(専業)元'!$A$1:$L$330</definedName>
    <definedName name="区分" localSheetId="7">#REF!</definedName>
    <definedName name="区分" localSheetId="8">#REF!</definedName>
    <definedName name="区分" localSheetId="12">#REF!</definedName>
    <definedName name="区分" localSheetId="13">#REF!</definedName>
    <definedName name="区分" localSheetId="16">#REF!</definedName>
    <definedName name="区分" localSheetId="17">#REF!</definedName>
    <definedName name="区分" localSheetId="2">#REF!</definedName>
    <definedName name="区分" localSheetId="6">#REF!</definedName>
    <definedName name="区分" localSheetId="9">#REF!</definedName>
    <definedName name="区分" localSheetId="10">#REF!</definedName>
    <definedName name="区分" localSheetId="14">#REF!</definedName>
    <definedName name="区分" localSheetId="15">#REF!</definedName>
    <definedName name="区分" localSheetId="11">#REF!</definedName>
    <definedName name="区分" localSheetId="4">#REF!</definedName>
    <definedName name="区分">#REF!</definedName>
    <definedName name="区分1">[1]Sheet2!$D$1:$D$19</definedName>
    <definedName name="分類">[1]Sheet2!$A$1:$A$2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5" i="6" l="1"/>
  <c r="K35" i="6"/>
  <c r="J35" i="6"/>
  <c r="L30" i="6"/>
  <c r="K30" i="6"/>
  <c r="J30" i="6"/>
  <c r="K81" i="6"/>
  <c r="K80" i="6"/>
  <c r="K79" i="6"/>
  <c r="K78" i="6"/>
  <c r="L82" i="6"/>
  <c r="K82" i="6"/>
  <c r="J82" i="6"/>
  <c r="J59" i="6"/>
  <c r="L59" i="6"/>
  <c r="L58" i="6"/>
  <c r="L57" i="6"/>
  <c r="L56" i="6"/>
  <c r="K36" i="6" l="1"/>
  <c r="K37" i="6" s="1"/>
  <c r="L36" i="6"/>
  <c r="L37" i="6" s="1"/>
  <c r="J83" i="6"/>
  <c r="J84" i="6" s="1"/>
  <c r="K83" i="6"/>
  <c r="K84" i="6" s="1"/>
  <c r="K93" i="6" s="1"/>
  <c r="L83" i="6"/>
  <c r="L84" i="6" s="1"/>
  <c r="L93" i="6" s="1"/>
  <c r="F58" i="6" l="1"/>
  <c r="J60" i="6"/>
  <c r="H42" i="42"/>
  <c r="H42" i="43"/>
  <c r="K58" i="6" l="1"/>
  <c r="J61" i="6"/>
  <c r="J93" i="6" s="1"/>
  <c r="H58" i="6"/>
  <c r="G58" i="6"/>
  <c r="M140" i="1"/>
  <c r="L139" i="1"/>
  <c r="J139" i="1"/>
  <c r="I138" i="1"/>
  <c r="I137" i="1"/>
  <c r="I83" i="44"/>
  <c r="V26" i="51"/>
  <c r="U26" i="51"/>
  <c r="V25" i="51"/>
  <c r="U25" i="51"/>
  <c r="I23" i="51"/>
  <c r="I22" i="51"/>
  <c r="I20" i="51" s="1"/>
  <c r="W20" i="51"/>
  <c r="V20" i="51"/>
  <c r="U20" i="51"/>
  <c r="T20" i="51"/>
  <c r="S20" i="51"/>
  <c r="R20" i="51"/>
  <c r="Q20" i="51"/>
  <c r="P20" i="51"/>
  <c r="O20" i="51"/>
  <c r="N20" i="51"/>
  <c r="M20" i="51"/>
  <c r="L20" i="51"/>
  <c r="K20" i="51"/>
  <c r="J20" i="51"/>
  <c r="H20" i="51"/>
  <c r="G20" i="51"/>
  <c r="F20" i="51"/>
  <c r="E20" i="51"/>
  <c r="H14" i="51"/>
  <c r="H9" i="51" s="1"/>
  <c r="AA12" i="51"/>
  <c r="W12" i="51"/>
  <c r="S12" i="51"/>
  <c r="O12" i="51"/>
  <c r="AA11" i="51"/>
  <c r="W11" i="51"/>
  <c r="S11" i="51"/>
  <c r="S9" i="51" s="1"/>
  <c r="O11" i="51"/>
  <c r="O9" i="51" s="1"/>
  <c r="AA9" i="51"/>
  <c r="V5" i="51" s="1"/>
  <c r="Z9" i="51"/>
  <c r="Y9" i="51"/>
  <c r="X9" i="51"/>
  <c r="S5" i="51" s="1"/>
  <c r="W9" i="51"/>
  <c r="V9" i="51"/>
  <c r="U9" i="51"/>
  <c r="T9" i="51"/>
  <c r="R9" i="51"/>
  <c r="Q9" i="51"/>
  <c r="P9" i="51"/>
  <c r="S3" i="51" s="1"/>
  <c r="N9" i="51"/>
  <c r="M4" i="51" s="1"/>
  <c r="M9" i="51"/>
  <c r="L4" i="51" s="1"/>
  <c r="L9" i="51"/>
  <c r="K9" i="51"/>
  <c r="J9" i="51"/>
  <c r="I9" i="51"/>
  <c r="L2" i="51" s="1"/>
  <c r="U5" i="51"/>
  <c r="T5" i="51"/>
  <c r="V4" i="51"/>
  <c r="U4" i="51"/>
  <c r="T4" i="51"/>
  <c r="S4" i="51"/>
  <c r="K4" i="51"/>
  <c r="U3" i="51"/>
  <c r="T3" i="51"/>
  <c r="N3" i="51"/>
  <c r="M3" i="51"/>
  <c r="L3" i="51"/>
  <c r="U2" i="51"/>
  <c r="T2" i="51"/>
  <c r="S2" i="51"/>
  <c r="M2" i="51"/>
  <c r="C1" i="51"/>
  <c r="I23" i="30"/>
  <c r="AA12" i="30"/>
  <c r="W12" i="30"/>
  <c r="S12" i="30"/>
  <c r="O12" i="30"/>
  <c r="I22" i="30"/>
  <c r="AA11" i="30"/>
  <c r="W11" i="30"/>
  <c r="S11" i="30"/>
  <c r="O11" i="30"/>
  <c r="C1" i="30"/>
  <c r="I81" i="44"/>
  <c r="H80" i="44"/>
  <c r="I80" i="44" s="1"/>
  <c r="M71" i="44"/>
  <c r="M94" i="44"/>
  <c r="L93" i="44"/>
  <c r="J93" i="44"/>
  <c r="I92" i="44"/>
  <c r="I91" i="44"/>
  <c r="I90" i="44"/>
  <c r="I89" i="44"/>
  <c r="I88" i="44"/>
  <c r="I87" i="44"/>
  <c r="I86" i="44"/>
  <c r="I85" i="44"/>
  <c r="I84" i="44"/>
  <c r="I82" i="44"/>
  <c r="I78" i="44"/>
  <c r="I77" i="44"/>
  <c r="I76" i="44"/>
  <c r="I75" i="44"/>
  <c r="N2" i="51" l="1"/>
  <c r="N4" i="51"/>
  <c r="V2" i="51"/>
  <c r="V3" i="51"/>
  <c r="K3" i="51"/>
  <c r="K2" i="51"/>
  <c r="I93" i="44"/>
  <c r="I8" i="44" s="1"/>
  <c r="H68" i="3"/>
  <c r="I326" i="35" l="1"/>
  <c r="H3" i="35"/>
  <c r="H2" i="35"/>
  <c r="D4" i="35"/>
  <c r="G90" i="35" l="1"/>
  <c r="G52" i="35"/>
  <c r="G46" i="35"/>
  <c r="G45" i="35"/>
  <c r="G44" i="35"/>
  <c r="G43" i="35"/>
  <c r="G42" i="35"/>
  <c r="G41" i="35"/>
  <c r="G40" i="35"/>
  <c r="G39" i="35"/>
  <c r="G38" i="35"/>
  <c r="G37" i="35"/>
  <c r="G36" i="35"/>
  <c r="G35" i="35"/>
  <c r="G34" i="35"/>
  <c r="G33" i="35"/>
  <c r="G32" i="35"/>
  <c r="G31" i="35"/>
  <c r="G30" i="35"/>
  <c r="G29" i="35"/>
  <c r="G28" i="35"/>
  <c r="N326" i="35"/>
  <c r="N320" i="35"/>
  <c r="N313" i="35"/>
  <c r="N312" i="35"/>
  <c r="N311" i="35"/>
  <c r="N310" i="35"/>
  <c r="N309" i="35"/>
  <c r="N308" i="35"/>
  <c r="N307" i="35"/>
  <c r="N306" i="35"/>
  <c r="N305" i="35"/>
  <c r="N304" i="35"/>
  <c r="N303" i="35"/>
  <c r="N302" i="35"/>
  <c r="N301" i="35"/>
  <c r="N300" i="35"/>
  <c r="N299" i="35"/>
  <c r="N298" i="35"/>
  <c r="N297" i="35"/>
  <c r="N296" i="35"/>
  <c r="N295" i="35"/>
  <c r="N294" i="35"/>
  <c r="N293" i="35"/>
  <c r="N292" i="35"/>
  <c r="N291" i="35"/>
  <c r="N290" i="35"/>
  <c r="N289" i="35"/>
  <c r="N288" i="35"/>
  <c r="N287" i="35"/>
  <c r="N286" i="35"/>
  <c r="N285" i="35"/>
  <c r="N284" i="35"/>
  <c r="N283" i="35"/>
  <c r="N282" i="35"/>
  <c r="N281" i="35"/>
  <c r="N280" i="35"/>
  <c r="N279" i="35"/>
  <c r="N277" i="35"/>
  <c r="N276" i="35"/>
  <c r="N275" i="35"/>
  <c r="N274" i="35"/>
  <c r="N273" i="35"/>
  <c r="N272" i="35"/>
  <c r="N271" i="35"/>
  <c r="N270" i="35"/>
  <c r="N269" i="35"/>
  <c r="N268" i="35"/>
  <c r="N267" i="35"/>
  <c r="N266" i="35"/>
  <c r="N265" i="35"/>
  <c r="N264" i="35"/>
  <c r="N263" i="35"/>
  <c r="N262" i="35"/>
  <c r="N261" i="35"/>
  <c r="N260" i="35"/>
  <c r="N259" i="35"/>
  <c r="N258" i="35"/>
  <c r="N257" i="35"/>
  <c r="N256" i="35"/>
  <c r="N255" i="35"/>
  <c r="N254" i="35"/>
  <c r="N253" i="35"/>
  <c r="N252" i="35"/>
  <c r="N251" i="35"/>
  <c r="N250" i="35"/>
  <c r="N249" i="35"/>
  <c r="N248" i="35"/>
  <c r="N247" i="35"/>
  <c r="N246" i="35"/>
  <c r="N245" i="35"/>
  <c r="N244" i="35"/>
  <c r="N243" i="35"/>
  <c r="N242" i="35"/>
  <c r="N241" i="35"/>
  <c r="N240" i="35"/>
  <c r="N239" i="35"/>
  <c r="N238" i="35"/>
  <c r="N237" i="35"/>
  <c r="N236" i="35"/>
  <c r="N235" i="35"/>
  <c r="N234" i="35"/>
  <c r="N233" i="35"/>
  <c r="N232" i="35"/>
  <c r="N231" i="35"/>
  <c r="N230" i="35"/>
  <c r="N229" i="35"/>
  <c r="N228" i="35"/>
  <c r="N227" i="35"/>
  <c r="N226" i="35"/>
  <c r="N224" i="35"/>
  <c r="N223" i="35"/>
  <c r="N222" i="35"/>
  <c r="N221" i="35"/>
  <c r="N220" i="35"/>
  <c r="N219" i="35"/>
  <c r="N218" i="35"/>
  <c r="N217" i="35"/>
  <c r="N216" i="35"/>
  <c r="N215" i="35"/>
  <c r="N214" i="35"/>
  <c r="N213" i="35"/>
  <c r="N212" i="35"/>
  <c r="N211" i="35"/>
  <c r="N210" i="35"/>
  <c r="N209" i="35"/>
  <c r="N208" i="35"/>
  <c r="N207" i="35"/>
  <c r="N206" i="35"/>
  <c r="N205" i="35"/>
  <c r="N204" i="35"/>
  <c r="N203" i="35"/>
  <c r="N202" i="35"/>
  <c r="N201" i="35"/>
  <c r="N200" i="35"/>
  <c r="N198" i="35"/>
  <c r="N197" i="35"/>
  <c r="N196" i="35"/>
  <c r="N195" i="35"/>
  <c r="N194" i="35"/>
  <c r="N193" i="35"/>
  <c r="N192" i="35"/>
  <c r="N191" i="35"/>
  <c r="N190" i="35"/>
  <c r="N189" i="35"/>
  <c r="N188" i="35"/>
  <c r="N187" i="35"/>
  <c r="N186" i="35"/>
  <c r="N185" i="35"/>
  <c r="N184" i="35"/>
  <c r="N183" i="35"/>
  <c r="N182" i="35"/>
  <c r="N181" i="35"/>
  <c r="N180" i="35"/>
  <c r="N179" i="35"/>
  <c r="N178" i="35"/>
  <c r="N177" i="35"/>
  <c r="N176" i="35"/>
  <c r="N175" i="35"/>
  <c r="N174" i="35"/>
  <c r="N172" i="35"/>
  <c r="N171" i="35"/>
  <c r="N170" i="35"/>
  <c r="N169" i="35"/>
  <c r="N168" i="35"/>
  <c r="N167" i="35"/>
  <c r="N166" i="35"/>
  <c r="N165" i="35"/>
  <c r="N164" i="35"/>
  <c r="N163" i="35"/>
  <c r="N162" i="35"/>
  <c r="N161" i="35"/>
  <c r="N160" i="35"/>
  <c r="N159" i="35"/>
  <c r="N158" i="35"/>
  <c r="N157" i="35"/>
  <c r="N156" i="35"/>
  <c r="N155" i="35"/>
  <c r="N154" i="35"/>
  <c r="N153" i="35"/>
  <c r="N152" i="35"/>
  <c r="N151" i="35"/>
  <c r="N150" i="35"/>
  <c r="N149" i="35"/>
  <c r="N148" i="35"/>
  <c r="N146" i="35"/>
  <c r="N145" i="35"/>
  <c r="N144" i="35"/>
  <c r="N143" i="35"/>
  <c r="N142" i="35"/>
  <c r="N141" i="35"/>
  <c r="N140" i="35"/>
  <c r="N139" i="35"/>
  <c r="N138" i="35"/>
  <c r="N137" i="35"/>
  <c r="N136" i="35"/>
  <c r="N135" i="35"/>
  <c r="N134" i="35"/>
  <c r="N133" i="35"/>
  <c r="N132" i="35"/>
  <c r="N131" i="35"/>
  <c r="N130" i="35"/>
  <c r="N129" i="35"/>
  <c r="N128" i="35"/>
  <c r="N127" i="35"/>
  <c r="N126" i="35"/>
  <c r="N125" i="35"/>
  <c r="N124" i="35"/>
  <c r="N123" i="35"/>
  <c r="N122" i="35"/>
  <c r="N95" i="35"/>
  <c r="N56" i="35"/>
  <c r="N73" i="35" s="1"/>
  <c r="N162" i="3"/>
  <c r="N108" i="3"/>
  <c r="N135" i="3"/>
  <c r="D134" i="3"/>
  <c r="N133" i="3"/>
  <c r="O133" i="3" s="1"/>
  <c r="M133" i="3"/>
  <c r="K133" i="3"/>
  <c r="I133" i="3"/>
  <c r="N132" i="3"/>
  <c r="O132" i="3" s="1"/>
  <c r="M132" i="3"/>
  <c r="K132" i="3"/>
  <c r="I132" i="3"/>
  <c r="N131" i="3"/>
  <c r="O131" i="3" s="1"/>
  <c r="M131" i="3"/>
  <c r="K131" i="3"/>
  <c r="I131" i="3"/>
  <c r="N130" i="3"/>
  <c r="O130" i="3" s="1"/>
  <c r="M130" i="3"/>
  <c r="K130" i="3"/>
  <c r="I130" i="3"/>
  <c r="N129" i="3"/>
  <c r="O129" i="3" s="1"/>
  <c r="M129" i="3"/>
  <c r="K129" i="3"/>
  <c r="I129" i="3"/>
  <c r="N128" i="3"/>
  <c r="O128" i="3" s="1"/>
  <c r="M128" i="3"/>
  <c r="K128" i="3"/>
  <c r="I128" i="3"/>
  <c r="N127" i="3"/>
  <c r="O127" i="3" s="1"/>
  <c r="M127" i="3"/>
  <c r="K127" i="3"/>
  <c r="I127" i="3"/>
  <c r="N126" i="3"/>
  <c r="O126" i="3" s="1"/>
  <c r="M126" i="3"/>
  <c r="K126" i="3"/>
  <c r="I126" i="3"/>
  <c r="N125" i="3"/>
  <c r="O125" i="3" s="1"/>
  <c r="M125" i="3"/>
  <c r="K125" i="3"/>
  <c r="I125" i="3"/>
  <c r="N124" i="3"/>
  <c r="O124" i="3" s="1"/>
  <c r="M124" i="3"/>
  <c r="K124" i="3"/>
  <c r="I124" i="3"/>
  <c r="N123" i="3"/>
  <c r="O123" i="3" s="1"/>
  <c r="M123" i="3"/>
  <c r="K123" i="3"/>
  <c r="I123" i="3"/>
  <c r="N122" i="3"/>
  <c r="O122" i="3" s="1"/>
  <c r="M122" i="3"/>
  <c r="K122" i="3"/>
  <c r="I122" i="3"/>
  <c r="N121" i="3"/>
  <c r="O121" i="3" s="1"/>
  <c r="M121" i="3"/>
  <c r="K121" i="3"/>
  <c r="I121" i="3"/>
  <c r="N120" i="3"/>
  <c r="O120" i="3" s="1"/>
  <c r="M120" i="3"/>
  <c r="K120" i="3"/>
  <c r="I120" i="3"/>
  <c r="N119" i="3"/>
  <c r="O119" i="3" s="1"/>
  <c r="M119" i="3"/>
  <c r="K119" i="3"/>
  <c r="I119" i="3"/>
  <c r="N118" i="3"/>
  <c r="O118" i="3" s="1"/>
  <c r="M118" i="3"/>
  <c r="K118" i="3"/>
  <c r="I118" i="3"/>
  <c r="N117" i="3"/>
  <c r="O117" i="3" s="1"/>
  <c r="M117" i="3"/>
  <c r="K117" i="3"/>
  <c r="I117" i="3"/>
  <c r="N116" i="3"/>
  <c r="O116" i="3" s="1"/>
  <c r="M116" i="3"/>
  <c r="K116" i="3"/>
  <c r="I116" i="3"/>
  <c r="M115" i="3"/>
  <c r="K115" i="3"/>
  <c r="I115" i="3"/>
  <c r="M114" i="3"/>
  <c r="K114" i="3"/>
  <c r="I114" i="3"/>
  <c r="M113" i="3"/>
  <c r="K113" i="3"/>
  <c r="I113" i="3"/>
  <c r="N112" i="3"/>
  <c r="O112" i="3" s="1"/>
  <c r="M112" i="3"/>
  <c r="K112" i="3"/>
  <c r="I112" i="3"/>
  <c r="O136" i="3"/>
  <c r="N6" i="35"/>
  <c r="N7" i="35"/>
  <c r="N16" i="35"/>
  <c r="I134" i="3" l="1"/>
  <c r="O134" i="3" s="1"/>
  <c r="N110" i="3" s="1"/>
  <c r="M134" i="3"/>
  <c r="N314" i="35"/>
  <c r="K134" i="3"/>
  <c r="I156" i="43"/>
  <c r="I155" i="43"/>
  <c r="I39" i="40" s="1"/>
  <c r="V26" i="47"/>
  <c r="U26" i="47"/>
  <c r="V25" i="47"/>
  <c r="U25" i="47"/>
  <c r="U21" i="47" s="1"/>
  <c r="J23" i="47"/>
  <c r="E23" i="47"/>
  <c r="E21" i="47" s="1"/>
  <c r="W21" i="47"/>
  <c r="V21" i="47"/>
  <c r="T21" i="47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H15" i="47"/>
  <c r="AA13" i="47"/>
  <c r="W13" i="47"/>
  <c r="W9" i="47" s="1"/>
  <c r="S13" i="47"/>
  <c r="O13" i="47"/>
  <c r="O9" i="47" s="1"/>
  <c r="N4" i="47" s="1"/>
  <c r="K12" i="47"/>
  <c r="K11" i="47"/>
  <c r="K9" i="47" s="1"/>
  <c r="AA9" i="47"/>
  <c r="V5" i="47" s="1"/>
  <c r="Z9" i="47"/>
  <c r="U5" i="47" s="1"/>
  <c r="Y9" i="47"/>
  <c r="X9" i="47"/>
  <c r="V9" i="47"/>
  <c r="U4" i="47" s="1"/>
  <c r="U9" i="47"/>
  <c r="T4" i="47" s="1"/>
  <c r="T9" i="47"/>
  <c r="S4" i="47" s="1"/>
  <c r="S9" i="47"/>
  <c r="V3" i="47" s="1"/>
  <c r="R9" i="47"/>
  <c r="U3" i="47" s="1"/>
  <c r="Q9" i="47"/>
  <c r="T3" i="47" s="1"/>
  <c r="P9" i="47"/>
  <c r="N9" i="47"/>
  <c r="M9" i="47"/>
  <c r="L9" i="47"/>
  <c r="J9" i="47"/>
  <c r="M3" i="47" s="1"/>
  <c r="I9" i="47"/>
  <c r="L3" i="47" s="1"/>
  <c r="H9" i="47"/>
  <c r="K3" i="47" s="1"/>
  <c r="T5" i="47"/>
  <c r="S5" i="47"/>
  <c r="M4" i="47"/>
  <c r="L4" i="47"/>
  <c r="K4" i="47"/>
  <c r="S3" i="47"/>
  <c r="T2" i="47"/>
  <c r="S2" i="47"/>
  <c r="M2" i="47"/>
  <c r="L2" i="47"/>
  <c r="K2" i="47"/>
  <c r="C1" i="47"/>
  <c r="U2" i="47" l="1"/>
  <c r="N114" i="3"/>
  <c r="O114" i="3" s="1"/>
  <c r="H125" i="34" s="1"/>
  <c r="I125" i="34" s="1"/>
  <c r="N113" i="3"/>
  <c r="O113" i="3" s="1"/>
  <c r="H102" i="1" s="1"/>
  <c r="I102" i="1" s="1"/>
  <c r="N115" i="3"/>
  <c r="O115" i="3" s="1"/>
  <c r="H103" i="1" s="1"/>
  <c r="I103" i="1" s="1"/>
  <c r="N3" i="47"/>
  <c r="N2" i="47"/>
  <c r="V4" i="47"/>
  <c r="V2" i="47"/>
  <c r="M71" i="42"/>
  <c r="M117" i="42"/>
  <c r="M94" i="42"/>
  <c r="L93" i="42"/>
  <c r="K93" i="42"/>
  <c r="J93" i="42"/>
  <c r="I92" i="42"/>
  <c r="I91" i="42"/>
  <c r="I90" i="42"/>
  <c r="I89" i="42"/>
  <c r="I88" i="42"/>
  <c r="I87" i="42"/>
  <c r="I86" i="42"/>
  <c r="I85" i="42"/>
  <c r="I84" i="42"/>
  <c r="I83" i="42"/>
  <c r="I82" i="42"/>
  <c r="I75" i="42"/>
  <c r="N81" i="3"/>
  <c r="O80" i="3"/>
  <c r="N27" i="3"/>
  <c r="O26" i="3"/>
  <c r="O54" i="3"/>
  <c r="O81" i="3" s="1"/>
  <c r="O108" i="3" s="1"/>
  <c r="O135" i="3" s="1"/>
  <c r="O162" i="3" s="1"/>
  <c r="N54" i="3"/>
  <c r="O53" i="3"/>
  <c r="D53" i="3"/>
  <c r="N52" i="3"/>
  <c r="O52" i="3" s="1"/>
  <c r="M52" i="3"/>
  <c r="K52" i="3"/>
  <c r="I52" i="3"/>
  <c r="N51" i="3"/>
  <c r="O51" i="3" s="1"/>
  <c r="M51" i="3"/>
  <c r="K51" i="3"/>
  <c r="I51" i="3"/>
  <c r="N50" i="3"/>
  <c r="O50" i="3" s="1"/>
  <c r="M50" i="3"/>
  <c r="K50" i="3"/>
  <c r="I50" i="3"/>
  <c r="N49" i="3"/>
  <c r="O49" i="3" s="1"/>
  <c r="M49" i="3"/>
  <c r="K49" i="3"/>
  <c r="I49" i="3"/>
  <c r="N48" i="3"/>
  <c r="O48" i="3" s="1"/>
  <c r="M48" i="3"/>
  <c r="K48" i="3"/>
  <c r="I48" i="3"/>
  <c r="N47" i="3"/>
  <c r="O47" i="3" s="1"/>
  <c r="M47" i="3"/>
  <c r="K47" i="3"/>
  <c r="I47" i="3"/>
  <c r="N46" i="3"/>
  <c r="O46" i="3" s="1"/>
  <c r="M46" i="3"/>
  <c r="K46" i="3"/>
  <c r="I46" i="3"/>
  <c r="N45" i="3"/>
  <c r="O45" i="3" s="1"/>
  <c r="M45" i="3"/>
  <c r="K45" i="3"/>
  <c r="I45" i="3"/>
  <c r="N44" i="3"/>
  <c r="O44" i="3" s="1"/>
  <c r="M44" i="3"/>
  <c r="K44" i="3"/>
  <c r="I44" i="3"/>
  <c r="N43" i="3"/>
  <c r="O43" i="3" s="1"/>
  <c r="M43" i="3"/>
  <c r="K43" i="3"/>
  <c r="I43" i="3"/>
  <c r="N42" i="3"/>
  <c r="O42" i="3" s="1"/>
  <c r="M42" i="3"/>
  <c r="K42" i="3"/>
  <c r="I42" i="3"/>
  <c r="N41" i="3"/>
  <c r="O41" i="3" s="1"/>
  <c r="M41" i="3"/>
  <c r="K41" i="3"/>
  <c r="I41" i="3"/>
  <c r="N40" i="3"/>
  <c r="O40" i="3" s="1"/>
  <c r="M40" i="3"/>
  <c r="K40" i="3"/>
  <c r="I40" i="3"/>
  <c r="N39" i="3"/>
  <c r="O39" i="3" s="1"/>
  <c r="M39" i="3"/>
  <c r="K39" i="3"/>
  <c r="I39" i="3"/>
  <c r="N38" i="3"/>
  <c r="O38" i="3" s="1"/>
  <c r="M38" i="3"/>
  <c r="K38" i="3"/>
  <c r="I38" i="3"/>
  <c r="N37" i="3"/>
  <c r="O37" i="3" s="1"/>
  <c r="M37" i="3"/>
  <c r="K37" i="3"/>
  <c r="I37" i="3"/>
  <c r="M36" i="3"/>
  <c r="K36" i="3"/>
  <c r="I36" i="3"/>
  <c r="M35" i="3"/>
  <c r="K35" i="3"/>
  <c r="I35" i="3"/>
  <c r="M34" i="3"/>
  <c r="K34" i="3"/>
  <c r="I34" i="3"/>
  <c r="M33" i="3"/>
  <c r="K33" i="3"/>
  <c r="I33" i="3"/>
  <c r="N32" i="3"/>
  <c r="O32" i="3" s="1"/>
  <c r="M32" i="3"/>
  <c r="K32" i="3"/>
  <c r="I32" i="3"/>
  <c r="N31" i="3"/>
  <c r="O31" i="3" s="1"/>
  <c r="M31" i="3"/>
  <c r="K31" i="3"/>
  <c r="I31" i="3"/>
  <c r="O28" i="3"/>
  <c r="O55" i="3" s="1"/>
  <c r="E69" i="42" l="1"/>
  <c r="E68" i="42"/>
  <c r="K54" i="6" l="1"/>
  <c r="H54" i="6"/>
  <c r="G54" i="6"/>
  <c r="F54" i="6"/>
  <c r="F48" i="6"/>
  <c r="F71" i="6" s="1"/>
  <c r="P48" i="6"/>
  <c r="M48" i="6" s="1"/>
  <c r="P59" i="37"/>
  <c r="O59" i="37"/>
  <c r="P22" i="37"/>
  <c r="P44" i="37" s="1"/>
  <c r="O22" i="37"/>
  <c r="O44" i="37" s="1"/>
  <c r="P3" i="37"/>
  <c r="O3" i="37"/>
  <c r="P14" i="37"/>
  <c r="N5" i="35" s="1"/>
  <c r="N8" i="35" s="1"/>
  <c r="O14" i="37"/>
  <c r="M5" i="35" s="1"/>
  <c r="M25" i="50"/>
  <c r="I16" i="50"/>
  <c r="C5" i="50"/>
  <c r="L24" i="50" s="1"/>
  <c r="M25" i="49"/>
  <c r="I16" i="49"/>
  <c r="C5" i="49"/>
  <c r="L24" i="49" s="1"/>
  <c r="P43" i="37" l="1"/>
  <c r="O43" i="37"/>
  <c r="J36" i="6"/>
  <c r="J37" i="6" s="1"/>
  <c r="Q48" i="6"/>
  <c r="N48" i="6" s="1"/>
  <c r="J31" i="6"/>
  <c r="J32" i="6" s="1"/>
  <c r="M71" i="34"/>
  <c r="M48" i="34"/>
  <c r="L47" i="34"/>
  <c r="K47" i="34"/>
  <c r="J47" i="34"/>
  <c r="I122" i="1"/>
  <c r="M71" i="1"/>
  <c r="M48" i="1"/>
  <c r="L47" i="1"/>
  <c r="K47" i="1"/>
  <c r="J47" i="1"/>
  <c r="I59" i="34"/>
  <c r="I58" i="34"/>
  <c r="J45" i="6" l="1"/>
  <c r="J46" i="6" s="1"/>
  <c r="J47" i="6" s="1"/>
  <c r="M48" i="42"/>
  <c r="L47" i="42"/>
  <c r="K47" i="42"/>
  <c r="J47" i="42"/>
  <c r="D107" i="3"/>
  <c r="N106" i="3"/>
  <c r="O106" i="3" s="1"/>
  <c r="M106" i="3"/>
  <c r="K106" i="3"/>
  <c r="I106" i="3"/>
  <c r="N105" i="3"/>
  <c r="O105" i="3" s="1"/>
  <c r="M105" i="3"/>
  <c r="K105" i="3"/>
  <c r="I105" i="3"/>
  <c r="N104" i="3"/>
  <c r="O104" i="3" s="1"/>
  <c r="M104" i="3"/>
  <c r="K104" i="3"/>
  <c r="I104" i="3"/>
  <c r="N103" i="3"/>
  <c r="O103" i="3" s="1"/>
  <c r="M103" i="3"/>
  <c r="K103" i="3"/>
  <c r="I103" i="3"/>
  <c r="N102" i="3"/>
  <c r="O102" i="3" s="1"/>
  <c r="M102" i="3"/>
  <c r="K102" i="3"/>
  <c r="I102" i="3"/>
  <c r="N101" i="3"/>
  <c r="O101" i="3" s="1"/>
  <c r="M101" i="3"/>
  <c r="K101" i="3"/>
  <c r="I101" i="3"/>
  <c r="N100" i="3"/>
  <c r="O100" i="3" s="1"/>
  <c r="M100" i="3"/>
  <c r="K100" i="3"/>
  <c r="I100" i="3"/>
  <c r="N99" i="3"/>
  <c r="O99" i="3" s="1"/>
  <c r="M99" i="3"/>
  <c r="K99" i="3"/>
  <c r="I99" i="3"/>
  <c r="N98" i="3"/>
  <c r="O98" i="3" s="1"/>
  <c r="M98" i="3"/>
  <c r="K98" i="3"/>
  <c r="I98" i="3"/>
  <c r="N97" i="3"/>
  <c r="O97" i="3" s="1"/>
  <c r="M97" i="3"/>
  <c r="K97" i="3"/>
  <c r="I97" i="3"/>
  <c r="N96" i="3"/>
  <c r="O96" i="3" s="1"/>
  <c r="M96" i="3"/>
  <c r="K96" i="3"/>
  <c r="I96" i="3"/>
  <c r="M95" i="3"/>
  <c r="K95" i="3"/>
  <c r="I95" i="3"/>
  <c r="N94" i="3"/>
  <c r="O94" i="3" s="1"/>
  <c r="M94" i="3"/>
  <c r="K94" i="3"/>
  <c r="I94" i="3"/>
  <c r="N93" i="3"/>
  <c r="O93" i="3" s="1"/>
  <c r="M93" i="3"/>
  <c r="K93" i="3"/>
  <c r="I93" i="3"/>
  <c r="N92" i="3"/>
  <c r="O92" i="3" s="1"/>
  <c r="M92" i="3"/>
  <c r="K92" i="3"/>
  <c r="I92" i="3"/>
  <c r="N91" i="3"/>
  <c r="O91" i="3" s="1"/>
  <c r="M91" i="3"/>
  <c r="K91" i="3"/>
  <c r="I91" i="3"/>
  <c r="N90" i="3"/>
  <c r="O90" i="3" s="1"/>
  <c r="M90" i="3"/>
  <c r="K90" i="3"/>
  <c r="I90" i="3"/>
  <c r="N89" i="3"/>
  <c r="O89" i="3" s="1"/>
  <c r="M89" i="3"/>
  <c r="K89" i="3"/>
  <c r="I89" i="3"/>
  <c r="N88" i="3"/>
  <c r="O88" i="3" s="1"/>
  <c r="M88" i="3"/>
  <c r="K88" i="3"/>
  <c r="I88" i="3"/>
  <c r="N87" i="3"/>
  <c r="O87" i="3" s="1"/>
  <c r="M87" i="3"/>
  <c r="K87" i="3"/>
  <c r="I87" i="3"/>
  <c r="M86" i="3"/>
  <c r="K86" i="3"/>
  <c r="I86" i="3"/>
  <c r="N85" i="3"/>
  <c r="O85" i="3" s="1"/>
  <c r="M85" i="3"/>
  <c r="K85" i="3"/>
  <c r="I85" i="3"/>
  <c r="D64" i="42"/>
  <c r="E67" i="42"/>
  <c r="E66" i="42"/>
  <c r="E65" i="42"/>
  <c r="E64" i="42"/>
  <c r="G225" i="35" l="1"/>
  <c r="G199" i="35"/>
  <c r="G173" i="35"/>
  <c r="G147" i="35"/>
  <c r="G121" i="35"/>
  <c r="G72" i="35"/>
  <c r="G71" i="35"/>
  <c r="G70" i="35"/>
  <c r="G69" i="35"/>
  <c r="G68" i="35"/>
  <c r="G67" i="35"/>
  <c r="G66" i="35"/>
  <c r="G65" i="35"/>
  <c r="G64" i="35"/>
  <c r="G63" i="35"/>
  <c r="G62" i="35"/>
  <c r="M326" i="35"/>
  <c r="M320" i="35"/>
  <c r="M313" i="35"/>
  <c r="M312" i="35"/>
  <c r="M311" i="35"/>
  <c r="M310" i="35"/>
  <c r="M309" i="35"/>
  <c r="M308" i="35"/>
  <c r="M307" i="35"/>
  <c r="M306" i="35"/>
  <c r="M305" i="35"/>
  <c r="M304" i="35"/>
  <c r="M303" i="35"/>
  <c r="M302" i="35"/>
  <c r="M301" i="35"/>
  <c r="M300" i="35"/>
  <c r="M299" i="35"/>
  <c r="M298" i="35"/>
  <c r="M297" i="35"/>
  <c r="M296" i="35"/>
  <c r="M295" i="35"/>
  <c r="M294" i="35"/>
  <c r="M293" i="35"/>
  <c r="M292" i="35"/>
  <c r="M291" i="35"/>
  <c r="M290" i="35"/>
  <c r="M289" i="35"/>
  <c r="M288" i="35"/>
  <c r="M287" i="35"/>
  <c r="M286" i="35"/>
  <c r="M285" i="35"/>
  <c r="M284" i="35"/>
  <c r="M283" i="35"/>
  <c r="M282" i="35"/>
  <c r="M281" i="35"/>
  <c r="M280" i="35"/>
  <c r="M279" i="35"/>
  <c r="M277" i="35"/>
  <c r="M276" i="35"/>
  <c r="M275" i="35"/>
  <c r="M274" i="35"/>
  <c r="M273" i="35"/>
  <c r="M272" i="35"/>
  <c r="M271" i="35"/>
  <c r="M270" i="35"/>
  <c r="M269" i="35"/>
  <c r="M268" i="35"/>
  <c r="M267" i="35"/>
  <c r="M266" i="35"/>
  <c r="M265" i="35"/>
  <c r="M264" i="35"/>
  <c r="M263" i="35"/>
  <c r="M262" i="35"/>
  <c r="M261" i="35"/>
  <c r="M260" i="35"/>
  <c r="M259" i="35"/>
  <c r="M258" i="35"/>
  <c r="M257" i="35"/>
  <c r="M256" i="35"/>
  <c r="M255" i="35"/>
  <c r="M254" i="35"/>
  <c r="M253" i="35"/>
  <c r="M252" i="35"/>
  <c r="M251" i="35"/>
  <c r="M250" i="35"/>
  <c r="M249" i="35"/>
  <c r="M248" i="35"/>
  <c r="M247" i="35"/>
  <c r="M246" i="35"/>
  <c r="M245" i="35"/>
  <c r="M244" i="35"/>
  <c r="M243" i="35"/>
  <c r="M242" i="35"/>
  <c r="M241" i="35"/>
  <c r="M240" i="35"/>
  <c r="M239" i="35"/>
  <c r="M238" i="35"/>
  <c r="M237" i="35"/>
  <c r="M236" i="35"/>
  <c r="M235" i="35"/>
  <c r="M234" i="35"/>
  <c r="M233" i="35"/>
  <c r="M232" i="35"/>
  <c r="M231" i="35"/>
  <c r="M230" i="35"/>
  <c r="M229" i="35"/>
  <c r="M228" i="35"/>
  <c r="M227" i="35"/>
  <c r="M226" i="35"/>
  <c r="M224" i="35"/>
  <c r="M223" i="35"/>
  <c r="M222" i="35"/>
  <c r="M221" i="35"/>
  <c r="M220" i="35"/>
  <c r="M219" i="35"/>
  <c r="M218" i="35"/>
  <c r="M217" i="35"/>
  <c r="M216" i="35"/>
  <c r="M215" i="35"/>
  <c r="M214" i="35"/>
  <c r="M213" i="35"/>
  <c r="M212" i="35"/>
  <c r="M211" i="35"/>
  <c r="M210" i="35"/>
  <c r="M209" i="35"/>
  <c r="M208" i="35"/>
  <c r="M207" i="35"/>
  <c r="M206" i="35"/>
  <c r="M205" i="35"/>
  <c r="M204" i="35"/>
  <c r="M203" i="35"/>
  <c r="M202" i="35"/>
  <c r="M201" i="35"/>
  <c r="M200" i="35"/>
  <c r="M198" i="35"/>
  <c r="M197" i="35"/>
  <c r="M196" i="35"/>
  <c r="M195" i="35"/>
  <c r="M194" i="35"/>
  <c r="M193" i="35"/>
  <c r="M192" i="35"/>
  <c r="M191" i="35"/>
  <c r="M190" i="35"/>
  <c r="M189" i="35"/>
  <c r="M188" i="35"/>
  <c r="M187" i="35"/>
  <c r="M186" i="35"/>
  <c r="M185" i="35"/>
  <c r="M184" i="35"/>
  <c r="M183" i="35"/>
  <c r="M182" i="35"/>
  <c r="M181" i="35"/>
  <c r="M180" i="35"/>
  <c r="M179" i="35"/>
  <c r="M178" i="35"/>
  <c r="M177" i="35"/>
  <c r="M176" i="35"/>
  <c r="M175" i="35"/>
  <c r="M174" i="35"/>
  <c r="M172" i="35"/>
  <c r="M171" i="35"/>
  <c r="M170" i="35"/>
  <c r="M169" i="35"/>
  <c r="M168" i="35"/>
  <c r="M167" i="35"/>
  <c r="M166" i="35"/>
  <c r="M165" i="35"/>
  <c r="M164" i="35"/>
  <c r="M163" i="35"/>
  <c r="M162" i="35"/>
  <c r="M161" i="35"/>
  <c r="M160" i="35"/>
  <c r="M159" i="35"/>
  <c r="M158" i="35"/>
  <c r="M157" i="35"/>
  <c r="M156" i="35"/>
  <c r="M155" i="35"/>
  <c r="M154" i="35"/>
  <c r="M153" i="35"/>
  <c r="M152" i="35"/>
  <c r="M151" i="35"/>
  <c r="M150" i="35"/>
  <c r="M149" i="35"/>
  <c r="M148" i="35"/>
  <c r="M146" i="35"/>
  <c r="M145" i="35"/>
  <c r="M144" i="35"/>
  <c r="M143" i="35"/>
  <c r="M142" i="35"/>
  <c r="M141" i="35"/>
  <c r="M140" i="35"/>
  <c r="M139" i="35"/>
  <c r="M138" i="35"/>
  <c r="M137" i="35"/>
  <c r="M136" i="35"/>
  <c r="M135" i="35"/>
  <c r="M134" i="35"/>
  <c r="M133" i="35"/>
  <c r="M132" i="35"/>
  <c r="M131" i="35"/>
  <c r="M130" i="35"/>
  <c r="M129" i="35"/>
  <c r="M128" i="35"/>
  <c r="M127" i="35"/>
  <c r="M126" i="35"/>
  <c r="M125" i="35"/>
  <c r="M124" i="35"/>
  <c r="M123" i="35"/>
  <c r="M122" i="35"/>
  <c r="M95" i="35"/>
  <c r="M56" i="35"/>
  <c r="M73" i="35" s="1"/>
  <c r="M6" i="35"/>
  <c r="M314" i="35" l="1"/>
  <c r="J326" i="35"/>
  <c r="J320" i="35"/>
  <c r="J313" i="35"/>
  <c r="J312" i="35"/>
  <c r="J311" i="35"/>
  <c r="J310" i="35"/>
  <c r="J309" i="35"/>
  <c r="J308" i="35"/>
  <c r="J307" i="35"/>
  <c r="J306" i="35"/>
  <c r="J305" i="35"/>
  <c r="J304" i="35"/>
  <c r="J303" i="35"/>
  <c r="J302" i="35"/>
  <c r="J301" i="35"/>
  <c r="J300" i="35"/>
  <c r="J299" i="35"/>
  <c r="J298" i="35"/>
  <c r="J297" i="35"/>
  <c r="J296" i="35"/>
  <c r="J295" i="35"/>
  <c r="J294" i="35"/>
  <c r="J293" i="35"/>
  <c r="J292" i="35"/>
  <c r="J291" i="35"/>
  <c r="J290" i="35"/>
  <c r="J289" i="35"/>
  <c r="J288" i="35"/>
  <c r="J287" i="35"/>
  <c r="J286" i="35"/>
  <c r="J285" i="35"/>
  <c r="J284" i="35"/>
  <c r="J283" i="35"/>
  <c r="J282" i="35"/>
  <c r="J281" i="35"/>
  <c r="J280" i="35"/>
  <c r="J279" i="35"/>
  <c r="J277" i="35"/>
  <c r="J276" i="35"/>
  <c r="J275" i="35"/>
  <c r="J274" i="35"/>
  <c r="J273" i="35"/>
  <c r="J272" i="35"/>
  <c r="J271" i="35"/>
  <c r="J270" i="35"/>
  <c r="J269" i="35"/>
  <c r="J268" i="35"/>
  <c r="J267" i="35"/>
  <c r="J266" i="35"/>
  <c r="J265" i="35"/>
  <c r="J264" i="35"/>
  <c r="J263" i="35"/>
  <c r="J262" i="35"/>
  <c r="J261" i="35"/>
  <c r="J260" i="35"/>
  <c r="J259" i="35"/>
  <c r="J258" i="35"/>
  <c r="J257" i="35"/>
  <c r="J256" i="35"/>
  <c r="J255" i="35"/>
  <c r="J254" i="35"/>
  <c r="J253" i="35"/>
  <c r="J252" i="35"/>
  <c r="J251" i="35"/>
  <c r="J250" i="35"/>
  <c r="J249" i="35"/>
  <c r="J248" i="35"/>
  <c r="J247" i="35"/>
  <c r="J246" i="35"/>
  <c r="J245" i="35"/>
  <c r="J244" i="35"/>
  <c r="J243" i="35"/>
  <c r="J242" i="35"/>
  <c r="J241" i="35"/>
  <c r="J240" i="35"/>
  <c r="J239" i="35"/>
  <c r="J238" i="35"/>
  <c r="J237" i="35"/>
  <c r="J236" i="35"/>
  <c r="J235" i="35"/>
  <c r="J234" i="35"/>
  <c r="J233" i="35"/>
  <c r="J232" i="35"/>
  <c r="J231" i="35"/>
  <c r="J230" i="35"/>
  <c r="J229" i="35"/>
  <c r="J228" i="35"/>
  <c r="J227" i="35"/>
  <c r="J226" i="35"/>
  <c r="J224" i="35"/>
  <c r="J223" i="35"/>
  <c r="J222" i="35"/>
  <c r="J221" i="35"/>
  <c r="J220" i="35"/>
  <c r="J219" i="35"/>
  <c r="J218" i="35"/>
  <c r="J217" i="35"/>
  <c r="J216" i="35"/>
  <c r="J215" i="35"/>
  <c r="J214" i="35"/>
  <c r="J213" i="35"/>
  <c r="J212" i="35"/>
  <c r="J211" i="35"/>
  <c r="J210" i="35"/>
  <c r="J209" i="35"/>
  <c r="J208" i="35"/>
  <c r="J207" i="35"/>
  <c r="J206" i="35"/>
  <c r="J205" i="35"/>
  <c r="J204" i="35"/>
  <c r="J203" i="35"/>
  <c r="J202" i="35"/>
  <c r="J201" i="35"/>
  <c r="J200" i="35"/>
  <c r="J198" i="35"/>
  <c r="J197" i="35"/>
  <c r="J196" i="35"/>
  <c r="J195" i="35"/>
  <c r="J194" i="35"/>
  <c r="J193" i="35"/>
  <c r="J192" i="35"/>
  <c r="J191" i="35"/>
  <c r="J190" i="35"/>
  <c r="J189" i="35"/>
  <c r="J188" i="35"/>
  <c r="J187" i="35"/>
  <c r="J186" i="35"/>
  <c r="J185" i="35"/>
  <c r="J184" i="35"/>
  <c r="J183" i="35"/>
  <c r="J182" i="35"/>
  <c r="J181" i="35"/>
  <c r="J180" i="35"/>
  <c r="J179" i="35"/>
  <c r="J178" i="35"/>
  <c r="J177" i="35"/>
  <c r="J176" i="35"/>
  <c r="J175" i="35"/>
  <c r="J174" i="35"/>
  <c r="J172" i="35"/>
  <c r="J171" i="35"/>
  <c r="J170" i="35"/>
  <c r="J169" i="35"/>
  <c r="J168" i="35"/>
  <c r="J167" i="35"/>
  <c r="J166" i="35"/>
  <c r="J165" i="35"/>
  <c r="J164" i="35"/>
  <c r="J163" i="35"/>
  <c r="J162" i="35"/>
  <c r="J161" i="35"/>
  <c r="J160" i="35"/>
  <c r="J159" i="35"/>
  <c r="J158" i="35"/>
  <c r="J157" i="35"/>
  <c r="J156" i="35"/>
  <c r="J155" i="35"/>
  <c r="J154" i="35"/>
  <c r="J153" i="35"/>
  <c r="J152" i="35"/>
  <c r="J151" i="35"/>
  <c r="J150" i="35"/>
  <c r="J149" i="35"/>
  <c r="J148" i="35"/>
  <c r="J146" i="35"/>
  <c r="J145" i="35"/>
  <c r="J144" i="35"/>
  <c r="J143" i="35"/>
  <c r="J142" i="35"/>
  <c r="J141" i="35"/>
  <c r="J140" i="35"/>
  <c r="J139" i="35"/>
  <c r="J138" i="35"/>
  <c r="J137" i="35"/>
  <c r="J136" i="35"/>
  <c r="J135" i="35"/>
  <c r="J134" i="35"/>
  <c r="J133" i="35"/>
  <c r="J132" i="35"/>
  <c r="J131" i="35"/>
  <c r="J130" i="35"/>
  <c r="J129" i="35"/>
  <c r="J128" i="35"/>
  <c r="J127" i="35"/>
  <c r="J126" i="35"/>
  <c r="J125" i="35"/>
  <c r="J124" i="35"/>
  <c r="J123" i="35"/>
  <c r="J122" i="35"/>
  <c r="J95" i="35"/>
  <c r="J56" i="35"/>
  <c r="J73" i="35" s="1"/>
  <c r="H326" i="35"/>
  <c r="I320" i="35"/>
  <c r="H320" i="35"/>
  <c r="I313" i="35"/>
  <c r="H313" i="35"/>
  <c r="I312" i="35"/>
  <c r="H312" i="35"/>
  <c r="I311" i="35"/>
  <c r="H311" i="35"/>
  <c r="I310" i="35"/>
  <c r="H310" i="35"/>
  <c r="I309" i="35"/>
  <c r="H309" i="35"/>
  <c r="I308" i="35"/>
  <c r="H308" i="35"/>
  <c r="I307" i="35"/>
  <c r="H307" i="35"/>
  <c r="I306" i="35"/>
  <c r="H306" i="35"/>
  <c r="I305" i="35"/>
  <c r="H305" i="35"/>
  <c r="I304" i="35"/>
  <c r="H304" i="35"/>
  <c r="I303" i="35"/>
  <c r="H303" i="35"/>
  <c r="I302" i="35"/>
  <c r="H302" i="35"/>
  <c r="I301" i="35"/>
  <c r="H301" i="35"/>
  <c r="I300" i="35"/>
  <c r="H300" i="35"/>
  <c r="I299" i="35"/>
  <c r="H299" i="35"/>
  <c r="I298" i="35"/>
  <c r="H298" i="35"/>
  <c r="I297" i="35"/>
  <c r="H297" i="35"/>
  <c r="I296" i="35"/>
  <c r="H296" i="35"/>
  <c r="I295" i="35"/>
  <c r="H295" i="35"/>
  <c r="I294" i="35"/>
  <c r="H294" i="35"/>
  <c r="I293" i="35"/>
  <c r="H293" i="35"/>
  <c r="I292" i="35"/>
  <c r="H292" i="35"/>
  <c r="I291" i="35"/>
  <c r="H291" i="35"/>
  <c r="I290" i="35"/>
  <c r="H290" i="35"/>
  <c r="I289" i="35"/>
  <c r="H289" i="35"/>
  <c r="I288" i="35"/>
  <c r="H288" i="35"/>
  <c r="I287" i="35"/>
  <c r="H287" i="35"/>
  <c r="I286" i="35"/>
  <c r="H286" i="35"/>
  <c r="I285" i="35"/>
  <c r="H285" i="35"/>
  <c r="I284" i="35"/>
  <c r="H284" i="35"/>
  <c r="I283" i="35"/>
  <c r="H283" i="35"/>
  <c r="I282" i="35"/>
  <c r="H282" i="35"/>
  <c r="I281" i="35"/>
  <c r="H281" i="35"/>
  <c r="I280" i="35"/>
  <c r="H280" i="35"/>
  <c r="I279" i="35"/>
  <c r="H279" i="35"/>
  <c r="I277" i="35"/>
  <c r="H277" i="35"/>
  <c r="I276" i="35"/>
  <c r="H276" i="35"/>
  <c r="I275" i="35"/>
  <c r="H275" i="35"/>
  <c r="I274" i="35"/>
  <c r="H274" i="35"/>
  <c r="I273" i="35"/>
  <c r="H273" i="35"/>
  <c r="I272" i="35"/>
  <c r="H272" i="35"/>
  <c r="I271" i="35"/>
  <c r="H271" i="35"/>
  <c r="I270" i="35"/>
  <c r="H270" i="35"/>
  <c r="I269" i="35"/>
  <c r="H269" i="35"/>
  <c r="I268" i="35"/>
  <c r="H268" i="35"/>
  <c r="I267" i="35"/>
  <c r="H267" i="35"/>
  <c r="I266" i="35"/>
  <c r="H266" i="35"/>
  <c r="I265" i="35"/>
  <c r="H265" i="35"/>
  <c r="I264" i="35"/>
  <c r="H264" i="35"/>
  <c r="I263" i="35"/>
  <c r="H263" i="35"/>
  <c r="I262" i="35"/>
  <c r="H262" i="35"/>
  <c r="I261" i="35"/>
  <c r="H261" i="35"/>
  <c r="I260" i="35"/>
  <c r="H260" i="35"/>
  <c r="I259" i="35"/>
  <c r="H259" i="35"/>
  <c r="I258" i="35"/>
  <c r="H258" i="35"/>
  <c r="I257" i="35"/>
  <c r="H257" i="35"/>
  <c r="I256" i="35"/>
  <c r="H256" i="35"/>
  <c r="I255" i="35"/>
  <c r="H255" i="35"/>
  <c r="I254" i="35"/>
  <c r="H254" i="35"/>
  <c r="I253" i="35"/>
  <c r="H253" i="35"/>
  <c r="I252" i="35"/>
  <c r="H252" i="35"/>
  <c r="I251" i="35"/>
  <c r="H251" i="35"/>
  <c r="I250" i="35"/>
  <c r="H250" i="35"/>
  <c r="I249" i="35"/>
  <c r="H249" i="35"/>
  <c r="I248" i="35"/>
  <c r="H248" i="35"/>
  <c r="I247" i="35"/>
  <c r="H247" i="35"/>
  <c r="I246" i="35"/>
  <c r="H246" i="35"/>
  <c r="I245" i="35"/>
  <c r="H245" i="35"/>
  <c r="I244" i="35"/>
  <c r="H244" i="35"/>
  <c r="I243" i="35"/>
  <c r="H243" i="35"/>
  <c r="I242" i="35"/>
  <c r="H242" i="35"/>
  <c r="I241" i="35"/>
  <c r="H241" i="35"/>
  <c r="I240" i="35"/>
  <c r="H240" i="35"/>
  <c r="I239" i="35"/>
  <c r="H239" i="35"/>
  <c r="I238" i="35"/>
  <c r="H238" i="35"/>
  <c r="I237" i="35"/>
  <c r="H237" i="35"/>
  <c r="I236" i="35"/>
  <c r="H236" i="35"/>
  <c r="I235" i="35"/>
  <c r="H235" i="35"/>
  <c r="I234" i="35"/>
  <c r="H234" i="35"/>
  <c r="I233" i="35"/>
  <c r="H233" i="35"/>
  <c r="I232" i="35"/>
  <c r="H232" i="35"/>
  <c r="I231" i="35"/>
  <c r="H231" i="35"/>
  <c r="I230" i="35"/>
  <c r="H230" i="35"/>
  <c r="I229" i="35"/>
  <c r="H229" i="35"/>
  <c r="I228" i="35"/>
  <c r="H228" i="35"/>
  <c r="I227" i="35"/>
  <c r="H227" i="35"/>
  <c r="I226" i="35"/>
  <c r="H226" i="35"/>
  <c r="I224" i="35"/>
  <c r="H224" i="35"/>
  <c r="I223" i="35"/>
  <c r="H223" i="35"/>
  <c r="I222" i="35"/>
  <c r="H222" i="35"/>
  <c r="I221" i="35"/>
  <c r="H221" i="35"/>
  <c r="I220" i="35"/>
  <c r="H220" i="35"/>
  <c r="I219" i="35"/>
  <c r="H219" i="35"/>
  <c r="I218" i="35"/>
  <c r="H218" i="35"/>
  <c r="I217" i="35"/>
  <c r="H217" i="35"/>
  <c r="I216" i="35"/>
  <c r="H216" i="35"/>
  <c r="I215" i="35"/>
  <c r="H215" i="35"/>
  <c r="I214" i="35"/>
  <c r="H214" i="35"/>
  <c r="I213" i="35"/>
  <c r="H213" i="35"/>
  <c r="I212" i="35"/>
  <c r="H212" i="35"/>
  <c r="I211" i="35"/>
  <c r="H211" i="35"/>
  <c r="I210" i="35"/>
  <c r="H210" i="35"/>
  <c r="I209" i="35"/>
  <c r="H209" i="35"/>
  <c r="I208" i="35"/>
  <c r="H208" i="35"/>
  <c r="I207" i="35"/>
  <c r="H207" i="35"/>
  <c r="I206" i="35"/>
  <c r="H206" i="35"/>
  <c r="I205" i="35"/>
  <c r="H205" i="35"/>
  <c r="I204" i="35"/>
  <c r="H204" i="35"/>
  <c r="I203" i="35"/>
  <c r="H203" i="35"/>
  <c r="I202" i="35"/>
  <c r="H202" i="35"/>
  <c r="I201" i="35"/>
  <c r="H201" i="35"/>
  <c r="I200" i="35"/>
  <c r="H200" i="35"/>
  <c r="I198" i="35"/>
  <c r="H198" i="35"/>
  <c r="I197" i="35"/>
  <c r="H197" i="35"/>
  <c r="I196" i="35"/>
  <c r="H196" i="35"/>
  <c r="I195" i="35"/>
  <c r="H195" i="35"/>
  <c r="I194" i="35"/>
  <c r="H194" i="35"/>
  <c r="I193" i="35"/>
  <c r="H193" i="35"/>
  <c r="I192" i="35"/>
  <c r="H192" i="35"/>
  <c r="I191" i="35"/>
  <c r="H191" i="35"/>
  <c r="I190" i="35"/>
  <c r="H190" i="35"/>
  <c r="I189" i="35"/>
  <c r="H189" i="35"/>
  <c r="I188" i="35"/>
  <c r="H188" i="35"/>
  <c r="I187" i="35"/>
  <c r="H187" i="35"/>
  <c r="I186" i="35"/>
  <c r="H186" i="35"/>
  <c r="I185" i="35"/>
  <c r="H185" i="35"/>
  <c r="I184" i="35"/>
  <c r="H184" i="35"/>
  <c r="I183" i="35"/>
  <c r="H183" i="35"/>
  <c r="I182" i="35"/>
  <c r="H182" i="35"/>
  <c r="I181" i="35"/>
  <c r="H181" i="35"/>
  <c r="I180" i="35"/>
  <c r="H180" i="35"/>
  <c r="I179" i="35"/>
  <c r="H179" i="35"/>
  <c r="I178" i="35"/>
  <c r="H178" i="35"/>
  <c r="I177" i="35"/>
  <c r="H177" i="35"/>
  <c r="I176" i="35"/>
  <c r="H176" i="35"/>
  <c r="I175" i="35"/>
  <c r="H175" i="35"/>
  <c r="I174" i="35"/>
  <c r="H174" i="35"/>
  <c r="I172" i="35"/>
  <c r="H172" i="35"/>
  <c r="I171" i="35"/>
  <c r="H171" i="35"/>
  <c r="I170" i="35"/>
  <c r="H170" i="35"/>
  <c r="I169" i="35"/>
  <c r="H169" i="35"/>
  <c r="I168" i="35"/>
  <c r="H168" i="35"/>
  <c r="I167" i="35"/>
  <c r="H167" i="35"/>
  <c r="I166" i="35"/>
  <c r="H166" i="35"/>
  <c r="I165" i="35"/>
  <c r="H165" i="35"/>
  <c r="I164" i="35"/>
  <c r="H164" i="35"/>
  <c r="I163" i="35"/>
  <c r="H163" i="35"/>
  <c r="I162" i="35"/>
  <c r="H162" i="35"/>
  <c r="I161" i="35"/>
  <c r="H161" i="35"/>
  <c r="I160" i="35"/>
  <c r="H160" i="35"/>
  <c r="I159" i="35"/>
  <c r="H159" i="35"/>
  <c r="I158" i="35"/>
  <c r="H158" i="35"/>
  <c r="I157" i="35"/>
  <c r="H157" i="35"/>
  <c r="I156" i="35"/>
  <c r="H156" i="35"/>
  <c r="I155" i="35"/>
  <c r="H155" i="35"/>
  <c r="I154" i="35"/>
  <c r="H154" i="35"/>
  <c r="I153" i="35"/>
  <c r="H153" i="35"/>
  <c r="I152" i="35"/>
  <c r="H152" i="35"/>
  <c r="I151" i="35"/>
  <c r="H151" i="35"/>
  <c r="I150" i="35"/>
  <c r="H150" i="35"/>
  <c r="I149" i="35"/>
  <c r="H149" i="35"/>
  <c r="I148" i="35"/>
  <c r="H148" i="35"/>
  <c r="I146" i="35"/>
  <c r="H146" i="35"/>
  <c r="I145" i="35"/>
  <c r="H145" i="35"/>
  <c r="I144" i="35"/>
  <c r="H144" i="35"/>
  <c r="I143" i="35"/>
  <c r="H143" i="35"/>
  <c r="I142" i="35"/>
  <c r="H142" i="35"/>
  <c r="I141" i="35"/>
  <c r="H141" i="35"/>
  <c r="I140" i="35"/>
  <c r="H140" i="35"/>
  <c r="I139" i="35"/>
  <c r="H139" i="35"/>
  <c r="I138" i="35"/>
  <c r="H138" i="35"/>
  <c r="I137" i="35"/>
  <c r="H137" i="35"/>
  <c r="I136" i="35"/>
  <c r="H136" i="35"/>
  <c r="I135" i="35"/>
  <c r="H135" i="35"/>
  <c r="I134" i="35"/>
  <c r="H134" i="35"/>
  <c r="I133" i="35"/>
  <c r="H133" i="35"/>
  <c r="I132" i="35"/>
  <c r="H132" i="35"/>
  <c r="I131" i="35"/>
  <c r="H131" i="35"/>
  <c r="I130" i="35"/>
  <c r="H130" i="35"/>
  <c r="I129" i="35"/>
  <c r="H129" i="35"/>
  <c r="I128" i="35"/>
  <c r="H128" i="35"/>
  <c r="I127" i="35"/>
  <c r="H127" i="35"/>
  <c r="I126" i="35"/>
  <c r="H126" i="35"/>
  <c r="I125" i="35"/>
  <c r="H125" i="35"/>
  <c r="I124" i="35"/>
  <c r="H124" i="35"/>
  <c r="I123" i="35"/>
  <c r="H123" i="35"/>
  <c r="I122" i="35"/>
  <c r="H122" i="35"/>
  <c r="I95" i="35"/>
  <c r="H95" i="35"/>
  <c r="I73" i="35"/>
  <c r="I56" i="35"/>
  <c r="H56" i="35"/>
  <c r="L326" i="35"/>
  <c r="L320" i="35"/>
  <c r="L313" i="35"/>
  <c r="L312" i="35"/>
  <c r="L311" i="35"/>
  <c r="L310" i="35"/>
  <c r="L309" i="35"/>
  <c r="L308" i="35"/>
  <c r="L307" i="35"/>
  <c r="L306" i="35"/>
  <c r="L305" i="35"/>
  <c r="L304" i="35"/>
  <c r="L303" i="35"/>
  <c r="L302" i="35"/>
  <c r="L301" i="35"/>
  <c r="L300" i="35"/>
  <c r="L299" i="35"/>
  <c r="L298" i="35"/>
  <c r="L297" i="35"/>
  <c r="L296" i="35"/>
  <c r="L295" i="35"/>
  <c r="L294" i="35"/>
  <c r="L293" i="35"/>
  <c r="L292" i="35"/>
  <c r="L291" i="35"/>
  <c r="L290" i="35"/>
  <c r="L289" i="35"/>
  <c r="L288" i="35"/>
  <c r="L287" i="35"/>
  <c r="L286" i="35"/>
  <c r="L285" i="35"/>
  <c r="L284" i="35"/>
  <c r="L283" i="35"/>
  <c r="L282" i="35"/>
  <c r="L281" i="35"/>
  <c r="L280" i="35"/>
  <c r="L279" i="35"/>
  <c r="L277" i="35"/>
  <c r="L276" i="35"/>
  <c r="L275" i="35"/>
  <c r="L274" i="35"/>
  <c r="L273" i="35"/>
  <c r="L272" i="35"/>
  <c r="L271" i="35"/>
  <c r="L270" i="35"/>
  <c r="L269" i="35"/>
  <c r="L268" i="35"/>
  <c r="L267" i="35"/>
  <c r="L266" i="35"/>
  <c r="L265" i="35"/>
  <c r="L264" i="35"/>
  <c r="L263" i="35"/>
  <c r="L262" i="35"/>
  <c r="L261" i="35"/>
  <c r="L260" i="35"/>
  <c r="L259" i="35"/>
  <c r="L258" i="35"/>
  <c r="L257" i="35"/>
  <c r="L256" i="35"/>
  <c r="L255" i="35"/>
  <c r="L254" i="35"/>
  <c r="L253" i="35"/>
  <c r="L252" i="35"/>
  <c r="L251" i="35"/>
  <c r="L250" i="35"/>
  <c r="L249" i="35"/>
  <c r="L248" i="35"/>
  <c r="L247" i="35"/>
  <c r="L246" i="35"/>
  <c r="L245" i="35"/>
  <c r="L244" i="35"/>
  <c r="L243" i="35"/>
  <c r="L242" i="35"/>
  <c r="L241" i="35"/>
  <c r="L240" i="35"/>
  <c r="L239" i="35"/>
  <c r="L238" i="35"/>
  <c r="L237" i="35"/>
  <c r="L236" i="35"/>
  <c r="L235" i="35"/>
  <c r="L234" i="35"/>
  <c r="L233" i="35"/>
  <c r="L232" i="35"/>
  <c r="L231" i="35"/>
  <c r="L230" i="35"/>
  <c r="L229" i="35"/>
  <c r="L228" i="35"/>
  <c r="L227" i="35"/>
  <c r="L226" i="35"/>
  <c r="L224" i="35"/>
  <c r="L223" i="35"/>
  <c r="L222" i="35"/>
  <c r="L221" i="35"/>
  <c r="L220" i="35"/>
  <c r="L219" i="35"/>
  <c r="L218" i="35"/>
  <c r="L217" i="35"/>
  <c r="L216" i="35"/>
  <c r="L215" i="35"/>
  <c r="L214" i="35"/>
  <c r="L213" i="35"/>
  <c r="L212" i="35"/>
  <c r="L211" i="35"/>
  <c r="L210" i="35"/>
  <c r="L209" i="35"/>
  <c r="L208" i="35"/>
  <c r="L207" i="35"/>
  <c r="L206" i="35"/>
  <c r="L205" i="35"/>
  <c r="L204" i="35"/>
  <c r="L203" i="35"/>
  <c r="L202" i="35"/>
  <c r="L201" i="35"/>
  <c r="L200" i="35"/>
  <c r="L198" i="35"/>
  <c r="L197" i="35"/>
  <c r="L196" i="35"/>
  <c r="L195" i="35"/>
  <c r="L194" i="35"/>
  <c r="L193" i="35"/>
  <c r="L192" i="35"/>
  <c r="L191" i="35"/>
  <c r="L190" i="35"/>
  <c r="L189" i="35"/>
  <c r="L188" i="35"/>
  <c r="L187" i="35"/>
  <c r="L186" i="35"/>
  <c r="L185" i="35"/>
  <c r="L184" i="35"/>
  <c r="L183" i="35"/>
  <c r="L182" i="35"/>
  <c r="L181" i="35"/>
  <c r="L180" i="35"/>
  <c r="L179" i="35"/>
  <c r="L178" i="35"/>
  <c r="L177" i="35"/>
  <c r="L176" i="35"/>
  <c r="L175" i="35"/>
  <c r="L174" i="35"/>
  <c r="L172" i="35"/>
  <c r="L171" i="35"/>
  <c r="L170" i="35"/>
  <c r="L169" i="35"/>
  <c r="L168" i="35"/>
  <c r="L167" i="35"/>
  <c r="L166" i="35"/>
  <c r="L165" i="35"/>
  <c r="L164" i="35"/>
  <c r="L163" i="35"/>
  <c r="L162" i="35"/>
  <c r="L161" i="35"/>
  <c r="L160" i="35"/>
  <c r="L159" i="35"/>
  <c r="L158" i="35"/>
  <c r="L157" i="35"/>
  <c r="L156" i="35"/>
  <c r="L155" i="35"/>
  <c r="L154" i="35"/>
  <c r="L153" i="35"/>
  <c r="L152" i="35"/>
  <c r="L151" i="35"/>
  <c r="L150" i="35"/>
  <c r="L149" i="35"/>
  <c r="L148" i="35"/>
  <c r="L146" i="35"/>
  <c r="L145" i="35"/>
  <c r="L144" i="35"/>
  <c r="L143" i="35"/>
  <c r="L142" i="35"/>
  <c r="L141" i="35"/>
  <c r="L140" i="35"/>
  <c r="L139" i="35"/>
  <c r="L138" i="35"/>
  <c r="L137" i="35"/>
  <c r="L136" i="35"/>
  <c r="L135" i="35"/>
  <c r="L134" i="35"/>
  <c r="L133" i="35"/>
  <c r="L132" i="35"/>
  <c r="L131" i="35"/>
  <c r="L130" i="35"/>
  <c r="L129" i="35"/>
  <c r="L128" i="35"/>
  <c r="L127" i="35"/>
  <c r="L126" i="35"/>
  <c r="L125" i="35"/>
  <c r="L124" i="35"/>
  <c r="L123" i="35"/>
  <c r="L122" i="35"/>
  <c r="L95" i="35"/>
  <c r="L56" i="35"/>
  <c r="L73" i="35" s="1"/>
  <c r="I153" i="43"/>
  <c r="H151" i="43"/>
  <c r="I151" i="43" s="1"/>
  <c r="I150" i="43"/>
  <c r="H153" i="34"/>
  <c r="H152" i="34"/>
  <c r="I152" i="34" s="1"/>
  <c r="I148" i="34"/>
  <c r="I155" i="34"/>
  <c r="I151" i="34"/>
  <c r="I150" i="34"/>
  <c r="I153" i="34"/>
  <c r="V37" i="46"/>
  <c r="U37" i="46"/>
  <c r="V36" i="46"/>
  <c r="V32" i="46" s="1"/>
  <c r="U36" i="46"/>
  <c r="U32" i="46" s="1"/>
  <c r="E34" i="46"/>
  <c r="E32" i="46" s="1"/>
  <c r="W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H26" i="46"/>
  <c r="AA24" i="46"/>
  <c r="W24" i="46"/>
  <c r="S24" i="46"/>
  <c r="O24" i="46"/>
  <c r="K23" i="46"/>
  <c r="K22" i="46"/>
  <c r="K21" i="46"/>
  <c r="J20" i="46"/>
  <c r="J19" i="46"/>
  <c r="K18" i="46"/>
  <c r="J17" i="46"/>
  <c r="K16" i="46"/>
  <c r="J15" i="46"/>
  <c r="K14" i="46"/>
  <c r="K13" i="46"/>
  <c r="K9" i="46" s="1"/>
  <c r="J12" i="46"/>
  <c r="J11" i="46"/>
  <c r="AA9" i="46"/>
  <c r="Z9" i="46"/>
  <c r="Y9" i="46"/>
  <c r="X9" i="46"/>
  <c r="W9" i="46"/>
  <c r="V9" i="46"/>
  <c r="U9" i="46"/>
  <c r="T9" i="46"/>
  <c r="S9" i="46"/>
  <c r="V3" i="46" s="1"/>
  <c r="R9" i="46"/>
  <c r="Q9" i="46"/>
  <c r="T3" i="46" s="1"/>
  <c r="P9" i="46"/>
  <c r="S3" i="46" s="1"/>
  <c r="O9" i="46"/>
  <c r="N4" i="46" s="1"/>
  <c r="N9" i="46"/>
  <c r="M4" i="46" s="1"/>
  <c r="M9" i="46"/>
  <c r="L9" i="46"/>
  <c r="J9" i="46"/>
  <c r="M2" i="46" s="1"/>
  <c r="I9" i="46"/>
  <c r="L2" i="46" s="1"/>
  <c r="H9" i="46"/>
  <c r="K2" i="46" s="1"/>
  <c r="V5" i="46"/>
  <c r="U5" i="46"/>
  <c r="T5" i="46"/>
  <c r="S5" i="46"/>
  <c r="V4" i="46"/>
  <c r="U4" i="46"/>
  <c r="T4" i="46"/>
  <c r="S4" i="46"/>
  <c r="L4" i="46"/>
  <c r="K4" i="46"/>
  <c r="U3" i="46"/>
  <c r="L3" i="46"/>
  <c r="K3" i="46"/>
  <c r="U2" i="46"/>
  <c r="C1" i="46"/>
  <c r="N3" i="46" l="1"/>
  <c r="N2" i="46"/>
  <c r="S2" i="46"/>
  <c r="T2" i="46"/>
  <c r="V2" i="46"/>
  <c r="M3" i="46"/>
  <c r="H73" i="35"/>
  <c r="I314" i="35"/>
  <c r="J314" i="35"/>
  <c r="H314" i="35"/>
  <c r="L314" i="35"/>
  <c r="I145" i="34" l="1"/>
  <c r="I146" i="34"/>
  <c r="I43" i="37" l="1"/>
  <c r="I131" i="1"/>
  <c r="I130" i="1"/>
  <c r="I129" i="1"/>
  <c r="H136" i="1"/>
  <c r="I136" i="1" s="1"/>
  <c r="H135" i="1"/>
  <c r="I134" i="1"/>
  <c r="I133" i="1"/>
  <c r="I135" i="1"/>
  <c r="V37" i="45"/>
  <c r="U37" i="45"/>
  <c r="V36" i="45"/>
  <c r="V30" i="45" s="1"/>
  <c r="U36" i="45"/>
  <c r="U30" i="45" s="1"/>
  <c r="G34" i="45"/>
  <c r="G30" i="45" s="1"/>
  <c r="S33" i="45"/>
  <c r="M32" i="45"/>
  <c r="M30" i="45" s="1"/>
  <c r="W30" i="45"/>
  <c r="T30" i="45"/>
  <c r="S30" i="45"/>
  <c r="R30" i="45"/>
  <c r="Q30" i="45"/>
  <c r="P30" i="45"/>
  <c r="O30" i="45"/>
  <c r="N30" i="45"/>
  <c r="L30" i="45"/>
  <c r="K30" i="45"/>
  <c r="J30" i="45"/>
  <c r="I30" i="45"/>
  <c r="H30" i="45"/>
  <c r="F30" i="45"/>
  <c r="E30" i="45"/>
  <c r="H24" i="45"/>
  <c r="H9" i="45" s="1"/>
  <c r="K22" i="45"/>
  <c r="K21" i="45"/>
  <c r="AA20" i="45"/>
  <c r="W20" i="45"/>
  <c r="S20" i="45"/>
  <c r="O20" i="45"/>
  <c r="AA19" i="45"/>
  <c r="AA9" i="45" s="1"/>
  <c r="V5" i="45" s="1"/>
  <c r="W19" i="45"/>
  <c r="S19" i="45"/>
  <c r="O19" i="45"/>
  <c r="O9" i="45" s="1"/>
  <c r="N4" i="45" s="1"/>
  <c r="Z18" i="45"/>
  <c r="V18" i="45"/>
  <c r="V9" i="45" s="1"/>
  <c r="U4" i="45" s="1"/>
  <c r="R18" i="45"/>
  <c r="R9" i="45" s="1"/>
  <c r="N18" i="45"/>
  <c r="N9" i="45" s="1"/>
  <c r="M4" i="45" s="1"/>
  <c r="K17" i="45"/>
  <c r="K16" i="45"/>
  <c r="K15" i="45"/>
  <c r="K14" i="45"/>
  <c r="J13" i="45"/>
  <c r="J12" i="45"/>
  <c r="J11" i="45"/>
  <c r="J9" i="45" s="1"/>
  <c r="Z9" i="45"/>
  <c r="U5" i="45" s="1"/>
  <c r="Y9" i="45"/>
  <c r="T5" i="45" s="1"/>
  <c r="X9" i="45"/>
  <c r="S5" i="45" s="1"/>
  <c r="U9" i="45"/>
  <c r="T2" i="45" s="1"/>
  <c r="T9" i="45"/>
  <c r="S4" i="45" s="1"/>
  <c r="Q9" i="45"/>
  <c r="P9" i="45"/>
  <c r="M9" i="45"/>
  <c r="L9" i="45"/>
  <c r="I9" i="45"/>
  <c r="L3" i="45" s="1"/>
  <c r="L4" i="45"/>
  <c r="K4" i="45"/>
  <c r="T3" i="45"/>
  <c r="S3" i="45"/>
  <c r="C1" i="45"/>
  <c r="I127" i="1"/>
  <c r="H42" i="34"/>
  <c r="H42" i="44"/>
  <c r="H42" i="1"/>
  <c r="I22" i="37"/>
  <c r="K3" i="45" l="1"/>
  <c r="K2" i="45"/>
  <c r="T4" i="45"/>
  <c r="S2" i="45"/>
  <c r="K9" i="45"/>
  <c r="L2" i="45"/>
  <c r="S9" i="45"/>
  <c r="W9" i="45"/>
  <c r="V4" i="45" s="1"/>
  <c r="I44" i="37"/>
  <c r="G39" i="41"/>
  <c r="M3" i="45"/>
  <c r="M2" i="45"/>
  <c r="N3" i="45"/>
  <c r="N2" i="45"/>
  <c r="U3" i="45"/>
  <c r="U2" i="45"/>
  <c r="V3" i="45"/>
  <c r="V2" i="45"/>
  <c r="I123" i="1"/>
  <c r="I61" i="34"/>
  <c r="I60" i="34"/>
  <c r="I56" i="34"/>
  <c r="I55" i="34"/>
  <c r="I54" i="34"/>
  <c r="I53" i="34"/>
  <c r="I147" i="43"/>
  <c r="I146" i="43"/>
  <c r="I122" i="43"/>
  <c r="I57" i="1"/>
  <c r="I56" i="1"/>
  <c r="I55" i="1"/>
  <c r="I54" i="1"/>
  <c r="I53" i="1"/>
  <c r="D100" i="43"/>
  <c r="E106" i="43"/>
  <c r="E105" i="43"/>
  <c r="E104" i="43"/>
  <c r="E103" i="43"/>
  <c r="E102" i="43"/>
  <c r="E101" i="43"/>
  <c r="E100" i="43"/>
  <c r="I106" i="43"/>
  <c r="I105" i="43"/>
  <c r="I104" i="43"/>
  <c r="I103" i="43"/>
  <c r="I102" i="43"/>
  <c r="I101" i="43"/>
  <c r="I100" i="43"/>
  <c r="L116" i="42"/>
  <c r="K116" i="42"/>
  <c r="J116" i="42"/>
  <c r="I115" i="42"/>
  <c r="I114" i="42"/>
  <c r="I113" i="42"/>
  <c r="I112" i="42"/>
  <c r="I111" i="42"/>
  <c r="I110" i="42"/>
  <c r="I109" i="42"/>
  <c r="I108" i="42"/>
  <c r="I107" i="42"/>
  <c r="I106" i="42"/>
  <c r="I105" i="42"/>
  <c r="I104" i="42"/>
  <c r="I103" i="42"/>
  <c r="I102" i="42"/>
  <c r="I101" i="42"/>
  <c r="I100" i="42"/>
  <c r="I98" i="42"/>
  <c r="L70" i="42"/>
  <c r="K70" i="42"/>
  <c r="I69" i="42"/>
  <c r="I67" i="42"/>
  <c r="I66" i="42"/>
  <c r="I65" i="42"/>
  <c r="I64" i="42"/>
  <c r="I159" i="43"/>
  <c r="I158" i="43"/>
  <c r="I157" i="43"/>
  <c r="I154" i="43"/>
  <c r="I152" i="43"/>
  <c r="I149" i="43"/>
  <c r="I148" i="43"/>
  <c r="I145" i="43"/>
  <c r="M117" i="43"/>
  <c r="M163" i="43"/>
  <c r="M140" i="43"/>
  <c r="L139" i="43"/>
  <c r="K139" i="43"/>
  <c r="J139" i="43"/>
  <c r="I138" i="43"/>
  <c r="I137" i="43"/>
  <c r="I136" i="43"/>
  <c r="I135" i="43"/>
  <c r="I134" i="43"/>
  <c r="I133" i="43"/>
  <c r="I132" i="43"/>
  <c r="I131" i="43"/>
  <c r="I130" i="43"/>
  <c r="I129" i="43"/>
  <c r="I128" i="43"/>
  <c r="I127" i="43"/>
  <c r="I126" i="43"/>
  <c r="I125" i="43"/>
  <c r="I124" i="43"/>
  <c r="I123" i="43"/>
  <c r="I121" i="43"/>
  <c r="L162" i="43"/>
  <c r="J162" i="43"/>
  <c r="I161" i="43"/>
  <c r="I160" i="43"/>
  <c r="I144" i="43"/>
  <c r="M94" i="43"/>
  <c r="L116" i="43"/>
  <c r="K116" i="43"/>
  <c r="J116" i="43"/>
  <c r="I115" i="43"/>
  <c r="I107" i="43"/>
  <c r="I98" i="43"/>
  <c r="D79" i="43"/>
  <c r="E85" i="43"/>
  <c r="E84" i="43"/>
  <c r="E83" i="43"/>
  <c r="E82" i="43"/>
  <c r="E81" i="43"/>
  <c r="E80" i="43"/>
  <c r="E79" i="43"/>
  <c r="I85" i="43"/>
  <c r="I84" i="43"/>
  <c r="I83" i="43"/>
  <c r="I82" i="43"/>
  <c r="I81" i="43"/>
  <c r="I80" i="43"/>
  <c r="I79" i="43"/>
  <c r="M71" i="43"/>
  <c r="L93" i="43"/>
  <c r="K93" i="43"/>
  <c r="I92" i="43"/>
  <c r="I91" i="43"/>
  <c r="I90" i="43"/>
  <c r="I89" i="43"/>
  <c r="I88" i="43"/>
  <c r="I87" i="43"/>
  <c r="I86" i="43"/>
  <c r="I77" i="43"/>
  <c r="I75" i="43"/>
  <c r="I56" i="43"/>
  <c r="I55" i="43"/>
  <c r="I54" i="43"/>
  <c r="I53" i="43"/>
  <c r="D55" i="42"/>
  <c r="E61" i="42"/>
  <c r="E60" i="42"/>
  <c r="E59" i="42"/>
  <c r="E58" i="42"/>
  <c r="E57" i="42"/>
  <c r="E56" i="42"/>
  <c r="E55" i="42"/>
  <c r="I61" i="42"/>
  <c r="I60" i="42"/>
  <c r="I59" i="42"/>
  <c r="I58" i="42"/>
  <c r="I57" i="42"/>
  <c r="I56" i="42"/>
  <c r="I55" i="42"/>
  <c r="J6" i="35"/>
  <c r="H6" i="35"/>
  <c r="I6" i="35"/>
  <c r="I7" i="35"/>
  <c r="L6" i="35"/>
  <c r="J7" i="35"/>
  <c r="K162" i="43" l="1"/>
  <c r="I162" i="43"/>
  <c r="I10" i="43" s="1"/>
  <c r="I139" i="43"/>
  <c r="I9" i="43" s="1"/>
  <c r="I123" i="34"/>
  <c r="I122" i="34"/>
  <c r="I100" i="1"/>
  <c r="I99" i="1"/>
  <c r="M7" i="35"/>
  <c r="D161" i="3" l="1"/>
  <c r="N160" i="3"/>
  <c r="O160" i="3" s="1"/>
  <c r="M160" i="3"/>
  <c r="K160" i="3"/>
  <c r="I160" i="3"/>
  <c r="N159" i="3"/>
  <c r="O159" i="3" s="1"/>
  <c r="M159" i="3"/>
  <c r="K159" i="3"/>
  <c r="I159" i="3"/>
  <c r="N158" i="3"/>
  <c r="O158" i="3" s="1"/>
  <c r="M158" i="3"/>
  <c r="K158" i="3"/>
  <c r="I158" i="3"/>
  <c r="N157" i="3"/>
  <c r="O157" i="3" s="1"/>
  <c r="M157" i="3"/>
  <c r="K157" i="3"/>
  <c r="I157" i="3"/>
  <c r="N156" i="3"/>
  <c r="O156" i="3" s="1"/>
  <c r="M156" i="3"/>
  <c r="K156" i="3"/>
  <c r="I156" i="3"/>
  <c r="N155" i="3"/>
  <c r="O155" i="3" s="1"/>
  <c r="M155" i="3"/>
  <c r="K155" i="3"/>
  <c r="I155" i="3"/>
  <c r="N154" i="3"/>
  <c r="O154" i="3" s="1"/>
  <c r="M154" i="3"/>
  <c r="K154" i="3"/>
  <c r="I154" i="3"/>
  <c r="N153" i="3"/>
  <c r="O153" i="3" s="1"/>
  <c r="M153" i="3"/>
  <c r="K153" i="3"/>
  <c r="I153" i="3"/>
  <c r="M152" i="3"/>
  <c r="K152" i="3"/>
  <c r="I152" i="3"/>
  <c r="M151" i="3"/>
  <c r="K151" i="3"/>
  <c r="I151" i="3"/>
  <c r="M150" i="3"/>
  <c r="K150" i="3"/>
  <c r="I150" i="3"/>
  <c r="M149" i="3"/>
  <c r="K149" i="3"/>
  <c r="I149" i="3"/>
  <c r="M148" i="3"/>
  <c r="K148" i="3"/>
  <c r="I148" i="3"/>
  <c r="M147" i="3"/>
  <c r="K147" i="3"/>
  <c r="I147" i="3"/>
  <c r="M146" i="3"/>
  <c r="K146" i="3"/>
  <c r="I146" i="3"/>
  <c r="M145" i="3"/>
  <c r="K145" i="3"/>
  <c r="I145" i="3"/>
  <c r="M144" i="3"/>
  <c r="K144" i="3"/>
  <c r="I144" i="3"/>
  <c r="M143" i="3"/>
  <c r="K143" i="3"/>
  <c r="I143" i="3"/>
  <c r="M142" i="3"/>
  <c r="K142" i="3"/>
  <c r="I142" i="3"/>
  <c r="M141" i="3"/>
  <c r="K141" i="3"/>
  <c r="I141" i="3"/>
  <c r="M140" i="3"/>
  <c r="K140" i="3"/>
  <c r="I140" i="3"/>
  <c r="N139" i="3"/>
  <c r="O139" i="3" s="1"/>
  <c r="M139" i="3"/>
  <c r="K139" i="3"/>
  <c r="I139" i="3"/>
  <c r="D80" i="3"/>
  <c r="N79" i="3"/>
  <c r="O79" i="3" s="1"/>
  <c r="M79" i="3"/>
  <c r="K79" i="3"/>
  <c r="I79" i="3"/>
  <c r="N78" i="3"/>
  <c r="O78" i="3" s="1"/>
  <c r="M78" i="3"/>
  <c r="K78" i="3"/>
  <c r="I78" i="3"/>
  <c r="N77" i="3"/>
  <c r="O77" i="3" s="1"/>
  <c r="M77" i="3"/>
  <c r="K77" i="3"/>
  <c r="I77" i="3"/>
  <c r="M76" i="3"/>
  <c r="K76" i="3"/>
  <c r="I76" i="3"/>
  <c r="N75" i="3"/>
  <c r="O75" i="3" s="1"/>
  <c r="M75" i="3"/>
  <c r="K75" i="3"/>
  <c r="I75" i="3"/>
  <c r="N74" i="3"/>
  <c r="O74" i="3" s="1"/>
  <c r="M74" i="3"/>
  <c r="K74" i="3"/>
  <c r="I74" i="3"/>
  <c r="N73" i="3"/>
  <c r="O73" i="3" s="1"/>
  <c r="M73" i="3"/>
  <c r="K73" i="3"/>
  <c r="I73" i="3"/>
  <c r="N72" i="3"/>
  <c r="O72" i="3" s="1"/>
  <c r="M72" i="3"/>
  <c r="K72" i="3"/>
  <c r="I72" i="3"/>
  <c r="N71" i="3"/>
  <c r="O71" i="3" s="1"/>
  <c r="M71" i="3"/>
  <c r="K71" i="3"/>
  <c r="I71" i="3"/>
  <c r="N70" i="3"/>
  <c r="O70" i="3" s="1"/>
  <c r="M70" i="3"/>
  <c r="K70" i="3"/>
  <c r="I70" i="3"/>
  <c r="N69" i="3"/>
  <c r="O69" i="3" s="1"/>
  <c r="M69" i="3"/>
  <c r="K69" i="3"/>
  <c r="I69" i="3"/>
  <c r="M68" i="3"/>
  <c r="K68" i="3"/>
  <c r="I68" i="3"/>
  <c r="N67" i="3"/>
  <c r="O67" i="3" s="1"/>
  <c r="M67" i="3"/>
  <c r="K67" i="3"/>
  <c r="I67" i="3"/>
  <c r="N66" i="3"/>
  <c r="O66" i="3" s="1"/>
  <c r="M66" i="3"/>
  <c r="K66" i="3"/>
  <c r="I66" i="3"/>
  <c r="N65" i="3"/>
  <c r="O65" i="3" s="1"/>
  <c r="M65" i="3"/>
  <c r="K65" i="3"/>
  <c r="I65" i="3"/>
  <c r="N64" i="3"/>
  <c r="O64" i="3" s="1"/>
  <c r="M64" i="3"/>
  <c r="K64" i="3"/>
  <c r="I64" i="3"/>
  <c r="N63" i="3"/>
  <c r="O63" i="3" s="1"/>
  <c r="M63" i="3"/>
  <c r="K63" i="3"/>
  <c r="I63" i="3"/>
  <c r="N62" i="3"/>
  <c r="O62" i="3" s="1"/>
  <c r="M62" i="3"/>
  <c r="K62" i="3"/>
  <c r="I62" i="3"/>
  <c r="N61" i="3"/>
  <c r="O61" i="3" s="1"/>
  <c r="M61" i="3"/>
  <c r="K61" i="3"/>
  <c r="I61" i="3"/>
  <c r="N60" i="3"/>
  <c r="O60" i="3" s="1"/>
  <c r="M60" i="3"/>
  <c r="K60" i="3"/>
  <c r="I60" i="3"/>
  <c r="M59" i="3"/>
  <c r="K59" i="3"/>
  <c r="I59" i="3"/>
  <c r="N58" i="3"/>
  <c r="O58" i="3" s="1"/>
  <c r="M58" i="3"/>
  <c r="K58" i="3"/>
  <c r="I58" i="3"/>
  <c r="I65" i="44"/>
  <c r="I64" i="44"/>
  <c r="I62" i="44"/>
  <c r="I57" i="44"/>
  <c r="L70" i="44"/>
  <c r="K70" i="44"/>
  <c r="K93" i="44" s="1"/>
  <c r="J70" i="44"/>
  <c r="I69" i="44"/>
  <c r="I68" i="44"/>
  <c r="I67" i="44"/>
  <c r="I66" i="44"/>
  <c r="I52" i="44"/>
  <c r="M48" i="44"/>
  <c r="L47" i="44"/>
  <c r="K47" i="44"/>
  <c r="J47" i="44"/>
  <c r="I46" i="44"/>
  <c r="I44" i="44"/>
  <c r="I43" i="44"/>
  <c r="I42" i="44"/>
  <c r="I41" i="44"/>
  <c r="I40" i="44"/>
  <c r="I39" i="44"/>
  <c r="I38" i="44"/>
  <c r="I37" i="44"/>
  <c r="I36" i="44"/>
  <c r="I35" i="44"/>
  <c r="I34" i="44"/>
  <c r="I33" i="44"/>
  <c r="I31" i="44"/>
  <c r="I29" i="44"/>
  <c r="M25" i="44"/>
  <c r="C5" i="44"/>
  <c r="L70" i="43"/>
  <c r="K70" i="43"/>
  <c r="J70" i="43"/>
  <c r="I69" i="43"/>
  <c r="I68" i="43"/>
  <c r="I67" i="43"/>
  <c r="I66" i="43"/>
  <c r="I65" i="43"/>
  <c r="I64" i="43"/>
  <c r="I63" i="43"/>
  <c r="I62" i="43"/>
  <c r="I61" i="43"/>
  <c r="I60" i="43"/>
  <c r="I59" i="43"/>
  <c r="I58" i="43"/>
  <c r="I57" i="43"/>
  <c r="I52" i="43"/>
  <c r="I70" i="43" s="1"/>
  <c r="I7" i="43" s="1"/>
  <c r="M48" i="43"/>
  <c r="L47" i="43"/>
  <c r="K47" i="43"/>
  <c r="J47" i="43"/>
  <c r="I46" i="43"/>
  <c r="I44" i="43"/>
  <c r="I43" i="43"/>
  <c r="I42" i="43"/>
  <c r="I41" i="43"/>
  <c r="I40" i="43"/>
  <c r="I39" i="43"/>
  <c r="I38" i="43"/>
  <c r="I37" i="43"/>
  <c r="I36" i="43"/>
  <c r="I35" i="43"/>
  <c r="I34" i="43"/>
  <c r="I33" i="43"/>
  <c r="I31" i="43"/>
  <c r="I29" i="43"/>
  <c r="M25" i="43"/>
  <c r="C5" i="43"/>
  <c r="I52" i="42"/>
  <c r="I46" i="42"/>
  <c r="I43" i="42"/>
  <c r="I42" i="42"/>
  <c r="I41" i="42"/>
  <c r="I40" i="42"/>
  <c r="I39" i="42"/>
  <c r="I38" i="42"/>
  <c r="I37" i="42"/>
  <c r="I36" i="42"/>
  <c r="I35" i="42"/>
  <c r="I34" i="42"/>
  <c r="I33" i="42"/>
  <c r="I31" i="42"/>
  <c r="I29" i="42"/>
  <c r="M25" i="42"/>
  <c r="C5" i="42"/>
  <c r="I158" i="34"/>
  <c r="I157" i="34"/>
  <c r="I156" i="34"/>
  <c r="I154" i="34"/>
  <c r="I149" i="34"/>
  <c r="G39" i="40"/>
  <c r="I147" i="34"/>
  <c r="M140" i="34"/>
  <c r="M163" i="34"/>
  <c r="L162" i="34"/>
  <c r="J162" i="34"/>
  <c r="I161" i="34"/>
  <c r="I160" i="34"/>
  <c r="I159" i="34"/>
  <c r="I144" i="34"/>
  <c r="I126" i="34"/>
  <c r="I124" i="34"/>
  <c r="M117" i="34"/>
  <c r="L139" i="34"/>
  <c r="K139" i="34"/>
  <c r="J139" i="34"/>
  <c r="I138" i="34"/>
  <c r="I137" i="34"/>
  <c r="I136" i="34"/>
  <c r="I135" i="34"/>
  <c r="I134" i="34"/>
  <c r="I133" i="34"/>
  <c r="I132" i="34"/>
  <c r="I131" i="34"/>
  <c r="I130" i="34"/>
  <c r="I129" i="34"/>
  <c r="I128" i="34"/>
  <c r="I127" i="34"/>
  <c r="I121" i="34"/>
  <c r="I101" i="34"/>
  <c r="I100" i="34"/>
  <c r="I99" i="34"/>
  <c r="I80" i="34"/>
  <c r="I79" i="34"/>
  <c r="I77" i="34"/>
  <c r="I76" i="34"/>
  <c r="I107" i="34"/>
  <c r="I106" i="34"/>
  <c r="I102" i="34"/>
  <c r="M94" i="34"/>
  <c r="L116" i="34"/>
  <c r="K116" i="34"/>
  <c r="J116" i="34"/>
  <c r="I115" i="34"/>
  <c r="I114" i="34"/>
  <c r="I113" i="34"/>
  <c r="I112" i="34"/>
  <c r="I111" i="34"/>
  <c r="I110" i="34"/>
  <c r="I109" i="34"/>
  <c r="I108" i="34"/>
  <c r="I98" i="34"/>
  <c r="L93" i="34"/>
  <c r="K93" i="34"/>
  <c r="J93" i="34"/>
  <c r="I92" i="34"/>
  <c r="I91" i="34"/>
  <c r="I90" i="34"/>
  <c r="I89" i="34"/>
  <c r="I88" i="34"/>
  <c r="I87" i="34"/>
  <c r="I86" i="34"/>
  <c r="I85" i="34"/>
  <c r="I84" i="34"/>
  <c r="I83" i="34"/>
  <c r="I82" i="34"/>
  <c r="I81" i="34"/>
  <c r="I78" i="34"/>
  <c r="I75" i="34"/>
  <c r="I69" i="34"/>
  <c r="I68" i="34"/>
  <c r="I62" i="34"/>
  <c r="I93" i="34" l="1"/>
  <c r="I8" i="34" s="1"/>
  <c r="I45" i="43"/>
  <c r="I45" i="44"/>
  <c r="K22" i="41" s="1"/>
  <c r="K22" i="37" s="1"/>
  <c r="K44" i="37" s="1"/>
  <c r="I45" i="42"/>
  <c r="J22" i="41" s="1"/>
  <c r="J22" i="37" s="1"/>
  <c r="J44" i="37" s="1"/>
  <c r="I162" i="34"/>
  <c r="I11" i="34" s="1"/>
  <c r="I161" i="3"/>
  <c r="M161" i="3"/>
  <c r="K161" i="3"/>
  <c r="K162" i="34"/>
  <c r="I116" i="34"/>
  <c r="I9" i="34" s="1"/>
  <c r="L7" i="35"/>
  <c r="O161" i="3" l="1"/>
  <c r="N137" i="3"/>
  <c r="N150" i="3" s="1"/>
  <c r="O150" i="3" s="1"/>
  <c r="I22" i="40"/>
  <c r="N22" i="37" s="1"/>
  <c r="N44" i="37" s="1"/>
  <c r="N147" i="3" l="1"/>
  <c r="O147" i="3" s="1"/>
  <c r="H61" i="44" s="1"/>
  <c r="I61" i="44" s="1"/>
  <c r="N145" i="3"/>
  <c r="O145" i="3" s="1"/>
  <c r="H59" i="44" s="1"/>
  <c r="I59" i="44" s="1"/>
  <c r="N142" i="3"/>
  <c r="O142" i="3" s="1"/>
  <c r="H55" i="44" s="1"/>
  <c r="I55" i="44" s="1"/>
  <c r="I139" i="34"/>
  <c r="I10" i="34" s="1"/>
  <c r="G32" i="40"/>
  <c r="N151" i="3"/>
  <c r="O151" i="3" s="1"/>
  <c r="N140" i="3"/>
  <c r="O140" i="3" s="1"/>
  <c r="H53" i="44" s="1"/>
  <c r="I53" i="44" s="1"/>
  <c r="N143" i="3"/>
  <c r="O143" i="3" s="1"/>
  <c r="H56" i="44" s="1"/>
  <c r="I56" i="44" s="1"/>
  <c r="N144" i="3"/>
  <c r="O144" i="3" s="1"/>
  <c r="H58" i="44" s="1"/>
  <c r="I58" i="44" s="1"/>
  <c r="N149" i="3"/>
  <c r="O149" i="3" s="1"/>
  <c r="N152" i="3"/>
  <c r="O152" i="3" s="1"/>
  <c r="N148" i="3"/>
  <c r="O148" i="3" s="1"/>
  <c r="H63" i="44" s="1"/>
  <c r="I63" i="44" s="1"/>
  <c r="N146" i="3"/>
  <c r="O146" i="3" s="1"/>
  <c r="H60" i="44" s="1"/>
  <c r="I60" i="44" s="1"/>
  <c r="N141" i="3"/>
  <c r="O141" i="3" s="1"/>
  <c r="H54" i="44" s="1"/>
  <c r="I54" i="44" s="1"/>
  <c r="K32" i="41" l="1"/>
  <c r="G32" i="41"/>
  <c r="I70" i="44"/>
  <c r="L70" i="34"/>
  <c r="K70" i="34"/>
  <c r="J70" i="34"/>
  <c r="I63" i="34"/>
  <c r="I52" i="34"/>
  <c r="I7" i="44" l="1"/>
  <c r="I16" i="44" s="1"/>
  <c r="K14" i="41" s="1"/>
  <c r="K14" i="37" s="1"/>
  <c r="I126" i="1"/>
  <c r="I125" i="1"/>
  <c r="I124" i="1"/>
  <c r="M117" i="1"/>
  <c r="I121" i="1"/>
  <c r="I106" i="1"/>
  <c r="I105" i="1"/>
  <c r="I104" i="1"/>
  <c r="I101" i="1"/>
  <c r="M94" i="1"/>
  <c r="L116" i="1"/>
  <c r="K116" i="1"/>
  <c r="K139" i="1" s="1"/>
  <c r="J116" i="1"/>
  <c r="I115" i="1"/>
  <c r="I114" i="1"/>
  <c r="I113" i="1"/>
  <c r="I112" i="1"/>
  <c r="I111" i="1"/>
  <c r="I110" i="1"/>
  <c r="I98" i="1"/>
  <c r="I79" i="1"/>
  <c r="I78" i="1"/>
  <c r="I76" i="1"/>
  <c r="L93" i="1"/>
  <c r="K93" i="1"/>
  <c r="J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7" i="1"/>
  <c r="I75" i="1"/>
  <c r="I60" i="1"/>
  <c r="I59" i="1"/>
  <c r="L70" i="1"/>
  <c r="K70" i="1"/>
  <c r="J70" i="1"/>
  <c r="I69" i="1"/>
  <c r="I68" i="1"/>
  <c r="I67" i="1"/>
  <c r="I66" i="1"/>
  <c r="I65" i="1"/>
  <c r="I64" i="1"/>
  <c r="I63" i="1"/>
  <c r="I62" i="1"/>
  <c r="I61" i="1"/>
  <c r="I58" i="1"/>
  <c r="I52" i="1"/>
  <c r="J5" i="35" l="1"/>
  <c r="K43" i="37"/>
  <c r="I70" i="1"/>
  <c r="I7" i="1" s="1"/>
  <c r="I93" i="1"/>
  <c r="I8" i="1" s="1"/>
  <c r="I116" i="1"/>
  <c r="I9" i="1" s="1"/>
  <c r="I139" i="1"/>
  <c r="I10" i="1" s="1"/>
  <c r="I44" i="32"/>
  <c r="R44" i="32" s="1"/>
  <c r="I35" i="32"/>
  <c r="R35" i="32" s="1"/>
  <c r="R7" i="32"/>
  <c r="N3" i="37"/>
  <c r="M3" i="37"/>
  <c r="L3" i="37"/>
  <c r="K3" i="37"/>
  <c r="J3" i="37"/>
  <c r="I3" i="37"/>
  <c r="H3" i="37"/>
  <c r="G3" i="37"/>
  <c r="N27" i="32"/>
  <c r="O54" i="32"/>
  <c r="N54" i="32"/>
  <c r="T52" i="32"/>
  <c r="S52" i="32"/>
  <c r="R52" i="32"/>
  <c r="Q52" i="32" s="1"/>
  <c r="T51" i="32"/>
  <c r="S51" i="32"/>
  <c r="R51" i="32"/>
  <c r="Q51" i="32" s="1"/>
  <c r="T50" i="32"/>
  <c r="S50" i="32"/>
  <c r="R50" i="32"/>
  <c r="Q50" i="32" s="1"/>
  <c r="T49" i="32"/>
  <c r="S49" i="32"/>
  <c r="R49" i="32"/>
  <c r="Q49" i="32" s="1"/>
  <c r="T48" i="32"/>
  <c r="S48" i="32"/>
  <c r="R48" i="32"/>
  <c r="Q48" i="32" s="1"/>
  <c r="T47" i="32"/>
  <c r="S47" i="32"/>
  <c r="R47" i="32"/>
  <c r="Q47" i="32" s="1"/>
  <c r="T46" i="32"/>
  <c r="S46" i="32"/>
  <c r="R46" i="32"/>
  <c r="Q46" i="32" s="1"/>
  <c r="T45" i="32"/>
  <c r="S45" i="32"/>
  <c r="R45" i="32"/>
  <c r="Q45" i="32" s="1"/>
  <c r="T43" i="32"/>
  <c r="S43" i="32"/>
  <c r="R43" i="32"/>
  <c r="Q43" i="32" s="1"/>
  <c r="T42" i="32"/>
  <c r="S42" i="32"/>
  <c r="R42" i="32"/>
  <c r="Q42" i="32" s="1"/>
  <c r="T41" i="32"/>
  <c r="S41" i="32"/>
  <c r="R41" i="32"/>
  <c r="Q41" i="32" s="1"/>
  <c r="T40" i="32"/>
  <c r="S40" i="32"/>
  <c r="R40" i="32"/>
  <c r="Q40" i="32" s="1"/>
  <c r="T39" i="32"/>
  <c r="S39" i="32"/>
  <c r="R39" i="32"/>
  <c r="Q39" i="32" s="1"/>
  <c r="T38" i="32"/>
  <c r="S38" i="32"/>
  <c r="R38" i="32"/>
  <c r="Q38" i="32" s="1"/>
  <c r="T37" i="32"/>
  <c r="S37" i="32"/>
  <c r="R37" i="32"/>
  <c r="Q37" i="32" s="1"/>
  <c r="T36" i="32"/>
  <c r="S36" i="32"/>
  <c r="R36" i="32"/>
  <c r="Q36" i="32" s="1"/>
  <c r="T34" i="32"/>
  <c r="S34" i="32"/>
  <c r="R34" i="32"/>
  <c r="Q34" i="32" s="1"/>
  <c r="T33" i="32"/>
  <c r="S33" i="32"/>
  <c r="R33" i="32"/>
  <c r="Q33" i="32" s="1"/>
  <c r="F1" i="37"/>
  <c r="H7" i="35"/>
  <c r="T35" i="32" l="1"/>
  <c r="T44" i="32"/>
  <c r="S7" i="32"/>
  <c r="S44" i="32"/>
  <c r="S35" i="32"/>
  <c r="T53" i="32"/>
  <c r="T54" i="32" s="1"/>
  <c r="F94" i="6"/>
  <c r="P71" i="6"/>
  <c r="M71" i="6" s="1"/>
  <c r="Q71" i="6"/>
  <c r="N71" i="6" s="1"/>
  <c r="L460" i="37"/>
  <c r="L438" i="37" s="1"/>
  <c r="K460" i="37"/>
  <c r="K328" i="37" s="1"/>
  <c r="J460" i="37"/>
  <c r="K438" i="37"/>
  <c r="L352" i="37"/>
  <c r="L447" i="37" s="1"/>
  <c r="L457" i="37" s="1"/>
  <c r="L327" i="37" s="1"/>
  <c r="K352" i="37"/>
  <c r="K447" i="37" s="1"/>
  <c r="K457" i="37" s="1"/>
  <c r="K327" i="37" s="1"/>
  <c r="J352" i="37"/>
  <c r="J447" i="37" s="1"/>
  <c r="K351" i="37"/>
  <c r="K317" i="37" s="1"/>
  <c r="J351" i="37"/>
  <c r="J317" i="37" s="1"/>
  <c r="K350" i="37"/>
  <c r="K311" i="37" s="1"/>
  <c r="L349" i="37"/>
  <c r="K349" i="37"/>
  <c r="J349" i="37"/>
  <c r="L346" i="37"/>
  <c r="K346" i="37"/>
  <c r="J346" i="37"/>
  <c r="L345" i="37"/>
  <c r="K345" i="37"/>
  <c r="J345" i="37"/>
  <c r="L344" i="37"/>
  <c r="K344" i="37"/>
  <c r="J344" i="37"/>
  <c r="L343" i="37"/>
  <c r="K343" i="37"/>
  <c r="J343" i="37"/>
  <c r="L342" i="37"/>
  <c r="K342" i="37"/>
  <c r="J342" i="37"/>
  <c r="L341" i="37"/>
  <c r="K341" i="37"/>
  <c r="J341" i="37"/>
  <c r="L340" i="37"/>
  <c r="K340" i="37"/>
  <c r="J340" i="37"/>
  <c r="L339" i="37"/>
  <c r="K339" i="37"/>
  <c r="J339" i="37"/>
  <c r="L338" i="37"/>
  <c r="K338" i="37"/>
  <c r="J338" i="37"/>
  <c r="L337" i="37"/>
  <c r="K337" i="37"/>
  <c r="J337" i="37"/>
  <c r="L336" i="37"/>
  <c r="K336" i="37"/>
  <c r="J336" i="37"/>
  <c r="L335" i="37"/>
  <c r="K335" i="37"/>
  <c r="J335" i="37"/>
  <c r="L316" i="37"/>
  <c r="K316" i="37"/>
  <c r="J316" i="37"/>
  <c r="L315" i="37"/>
  <c r="K315" i="37"/>
  <c r="J315" i="37"/>
  <c r="K314" i="37"/>
  <c r="J314" i="37"/>
  <c r="K308" i="37"/>
  <c r="L301" i="37"/>
  <c r="K301" i="37"/>
  <c r="J301" i="37"/>
  <c r="L284" i="37"/>
  <c r="L276" i="37" s="1"/>
  <c r="K284" i="37"/>
  <c r="K276" i="37" s="1"/>
  <c r="J284" i="37"/>
  <c r="J276" i="37" s="1"/>
  <c r="L267" i="37"/>
  <c r="K267" i="37"/>
  <c r="J267" i="37"/>
  <c r="L258" i="37"/>
  <c r="K258" i="37"/>
  <c r="J258" i="37"/>
  <c r="L232" i="37"/>
  <c r="L242" i="37" s="1"/>
  <c r="K232" i="37"/>
  <c r="K242" i="37" s="1"/>
  <c r="J232" i="37"/>
  <c r="J242" i="37" s="1"/>
  <c r="J111" i="37" s="1"/>
  <c r="L223" i="37"/>
  <c r="K223" i="37"/>
  <c r="J223" i="37"/>
  <c r="L220" i="37"/>
  <c r="K220" i="37"/>
  <c r="J220" i="37"/>
  <c r="L178" i="37"/>
  <c r="K178" i="37"/>
  <c r="J178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39" i="37"/>
  <c r="K139" i="37"/>
  <c r="J139" i="37"/>
  <c r="L132" i="37"/>
  <c r="K132" i="37"/>
  <c r="J132" i="37"/>
  <c r="L131" i="37"/>
  <c r="L194" i="37" s="1"/>
  <c r="K131" i="37"/>
  <c r="K194" i="37" s="1"/>
  <c r="J131" i="37"/>
  <c r="L118" i="37"/>
  <c r="K118" i="37"/>
  <c r="K143" i="37" s="1"/>
  <c r="J118" i="37"/>
  <c r="J143" i="37" s="1"/>
  <c r="L117" i="37"/>
  <c r="K117" i="37"/>
  <c r="J117" i="37"/>
  <c r="J141" i="37" s="1"/>
  <c r="L115" i="37"/>
  <c r="K115" i="37"/>
  <c r="J115" i="37"/>
  <c r="L112" i="37"/>
  <c r="K112" i="37"/>
  <c r="J112" i="37"/>
  <c r="L111" i="37"/>
  <c r="K111" i="37"/>
  <c r="L107" i="37"/>
  <c r="K107" i="37"/>
  <c r="J107" i="37"/>
  <c r="L101" i="37"/>
  <c r="K101" i="37"/>
  <c r="J101" i="37"/>
  <c r="L95" i="37"/>
  <c r="K95" i="37"/>
  <c r="J95" i="37"/>
  <c r="L41" i="37"/>
  <c r="K41" i="37"/>
  <c r="J41" i="37"/>
  <c r="L40" i="37"/>
  <c r="K40" i="37"/>
  <c r="J40" i="37"/>
  <c r="K18" i="37"/>
  <c r="L12" i="37"/>
  <c r="L306" i="37" s="1"/>
  <c r="K12" i="37"/>
  <c r="K306" i="37" s="1"/>
  <c r="J12" i="37"/>
  <c r="J306" i="37" s="1"/>
  <c r="L11" i="37"/>
  <c r="L305" i="37" s="1"/>
  <c r="K11" i="37"/>
  <c r="K305" i="37" s="1"/>
  <c r="J11" i="37"/>
  <c r="J305" i="37" s="1"/>
  <c r="L10" i="37"/>
  <c r="L304" i="37" s="1"/>
  <c r="K10" i="37"/>
  <c r="K304" i="37" s="1"/>
  <c r="J10" i="37"/>
  <c r="J304" i="37" s="1"/>
  <c r="L9" i="37"/>
  <c r="L26" i="37" s="1"/>
  <c r="K9" i="37"/>
  <c r="K27" i="37" s="1"/>
  <c r="J9" i="37"/>
  <c r="J26" i="37" s="1"/>
  <c r="L8" i="37"/>
  <c r="L300" i="37" s="1"/>
  <c r="K8" i="37"/>
  <c r="J8" i="37"/>
  <c r="L302" i="37"/>
  <c r="K302" i="37"/>
  <c r="J302" i="37"/>
  <c r="N460" i="41"/>
  <c r="M460" i="41"/>
  <c r="L460" i="41"/>
  <c r="K460" i="41"/>
  <c r="K438" i="41" s="1"/>
  <c r="J460" i="41"/>
  <c r="J438" i="41" s="1"/>
  <c r="I460" i="41"/>
  <c r="I438" i="41" s="1"/>
  <c r="H460" i="41"/>
  <c r="H328" i="41" s="1"/>
  <c r="G460" i="41"/>
  <c r="G328" i="41" s="1"/>
  <c r="E459" i="41"/>
  <c r="E458" i="41"/>
  <c r="E457" i="41"/>
  <c r="D457" i="41"/>
  <c r="C457" i="41"/>
  <c r="D454" i="41"/>
  <c r="D453" i="41"/>
  <c r="D452" i="41"/>
  <c r="C447" i="41"/>
  <c r="N438" i="41"/>
  <c r="M438" i="41"/>
  <c r="E430" i="41"/>
  <c r="D430" i="41"/>
  <c r="F429" i="41"/>
  <c r="N428" i="41"/>
  <c r="N323" i="41" s="1"/>
  <c r="M428" i="41"/>
  <c r="M323" i="41" s="1"/>
  <c r="L428" i="41"/>
  <c r="K428" i="41"/>
  <c r="J428" i="41"/>
  <c r="I428" i="41"/>
  <c r="I323" i="41" s="1"/>
  <c r="H428" i="41"/>
  <c r="G428" i="41"/>
  <c r="E427" i="41"/>
  <c r="D427" i="41"/>
  <c r="E426" i="41"/>
  <c r="D426" i="41"/>
  <c r="E425" i="41"/>
  <c r="D425" i="41"/>
  <c r="E424" i="41"/>
  <c r="D424" i="41"/>
  <c r="E421" i="41"/>
  <c r="D421" i="41"/>
  <c r="E420" i="41"/>
  <c r="D420" i="41"/>
  <c r="E419" i="41"/>
  <c r="D419" i="41"/>
  <c r="D418" i="41"/>
  <c r="D417" i="41"/>
  <c r="D416" i="41"/>
  <c r="D414" i="41"/>
  <c r="E389" i="41"/>
  <c r="D389" i="41"/>
  <c r="E388" i="41"/>
  <c r="D388" i="41"/>
  <c r="E387" i="41"/>
  <c r="D387" i="41"/>
  <c r="E386" i="41"/>
  <c r="D386" i="41"/>
  <c r="E385" i="41"/>
  <c r="D385" i="41"/>
  <c r="E382" i="41"/>
  <c r="D382" i="41"/>
  <c r="E381" i="41"/>
  <c r="D381" i="41"/>
  <c r="E380" i="41"/>
  <c r="D380" i="41"/>
  <c r="D377" i="41"/>
  <c r="D375" i="41"/>
  <c r="N352" i="41"/>
  <c r="N447" i="41" s="1"/>
  <c r="N457" i="41" s="1"/>
  <c r="N327" i="41" s="1"/>
  <c r="M352" i="41"/>
  <c r="M447" i="41" s="1"/>
  <c r="M457" i="41" s="1"/>
  <c r="L352" i="41"/>
  <c r="L447" i="41" s="1"/>
  <c r="K352" i="41"/>
  <c r="K447" i="41" s="1"/>
  <c r="K457" i="41" s="1"/>
  <c r="J352" i="41"/>
  <c r="J447" i="41" s="1"/>
  <c r="J457" i="41" s="1"/>
  <c r="J327" i="41" s="1"/>
  <c r="I352" i="41"/>
  <c r="I447" i="41" s="1"/>
  <c r="I457" i="41" s="1"/>
  <c r="I327" i="41" s="1"/>
  <c r="H352" i="41"/>
  <c r="H447" i="41" s="1"/>
  <c r="H457" i="41" s="1"/>
  <c r="H327" i="41" s="1"/>
  <c r="G352" i="41"/>
  <c r="N351" i="41"/>
  <c r="M351" i="41"/>
  <c r="L351" i="41"/>
  <c r="L317" i="41" s="1"/>
  <c r="K351" i="41"/>
  <c r="J351" i="41"/>
  <c r="I351" i="41"/>
  <c r="H351" i="41"/>
  <c r="G351" i="41"/>
  <c r="N350" i="41"/>
  <c r="N311" i="41" s="1"/>
  <c r="M350" i="41"/>
  <c r="M311" i="41" s="1"/>
  <c r="L350" i="41"/>
  <c r="K350" i="41"/>
  <c r="J350" i="41"/>
  <c r="I350" i="41"/>
  <c r="I311" i="41" s="1"/>
  <c r="H350" i="41"/>
  <c r="G350" i="41"/>
  <c r="N349" i="41"/>
  <c r="M349" i="41"/>
  <c r="L349" i="41"/>
  <c r="K349" i="41"/>
  <c r="J349" i="41"/>
  <c r="I349" i="41"/>
  <c r="H349" i="41"/>
  <c r="G349" i="41"/>
  <c r="F349" i="41" s="1"/>
  <c r="N346" i="41"/>
  <c r="M346" i="41"/>
  <c r="L346" i="41"/>
  <c r="K346" i="41"/>
  <c r="J346" i="41"/>
  <c r="I346" i="41"/>
  <c r="H346" i="41"/>
  <c r="G346" i="41"/>
  <c r="N345" i="41"/>
  <c r="M345" i="41"/>
  <c r="L345" i="41"/>
  <c r="K345" i="41"/>
  <c r="J345" i="41"/>
  <c r="I345" i="41"/>
  <c r="H345" i="41"/>
  <c r="F345" i="41" s="1"/>
  <c r="G345" i="41"/>
  <c r="N344" i="41"/>
  <c r="M344" i="41"/>
  <c r="L344" i="41"/>
  <c r="K344" i="41"/>
  <c r="J344" i="41"/>
  <c r="I344" i="41"/>
  <c r="H344" i="41"/>
  <c r="G344" i="41"/>
  <c r="N343" i="41"/>
  <c r="M343" i="41"/>
  <c r="L343" i="41"/>
  <c r="K343" i="41"/>
  <c r="J343" i="41"/>
  <c r="I343" i="41"/>
  <c r="H343" i="41"/>
  <c r="G343" i="41"/>
  <c r="N342" i="41"/>
  <c r="M342" i="41"/>
  <c r="L342" i="41"/>
  <c r="K342" i="41"/>
  <c r="J342" i="41"/>
  <c r="I342" i="41"/>
  <c r="H342" i="41"/>
  <c r="G342" i="41"/>
  <c r="N341" i="41"/>
  <c r="M341" i="41"/>
  <c r="L341" i="41"/>
  <c r="K341" i="41"/>
  <c r="J341" i="41"/>
  <c r="I341" i="41"/>
  <c r="H341" i="41"/>
  <c r="G341" i="41"/>
  <c r="N340" i="41"/>
  <c r="M340" i="41"/>
  <c r="L340" i="41"/>
  <c r="K340" i="41"/>
  <c r="J340" i="41"/>
  <c r="I340" i="41"/>
  <c r="H340" i="41"/>
  <c r="G340" i="41"/>
  <c r="N339" i="41"/>
  <c r="M339" i="41"/>
  <c r="L339" i="41"/>
  <c r="K339" i="41"/>
  <c r="J339" i="41"/>
  <c r="I339" i="41"/>
  <c r="H339" i="41"/>
  <c r="G339" i="41"/>
  <c r="N338" i="41"/>
  <c r="M338" i="41"/>
  <c r="L338" i="41"/>
  <c r="K338" i="41"/>
  <c r="J338" i="41"/>
  <c r="I338" i="41"/>
  <c r="H338" i="41"/>
  <c r="G338" i="41"/>
  <c r="N337" i="41"/>
  <c r="M337" i="41"/>
  <c r="L337" i="41"/>
  <c r="K337" i="41"/>
  <c r="J337" i="41"/>
  <c r="I337" i="41"/>
  <c r="H337" i="41"/>
  <c r="G337" i="41"/>
  <c r="N336" i="41"/>
  <c r="M336" i="41"/>
  <c r="L336" i="41"/>
  <c r="K336" i="41"/>
  <c r="J336" i="41"/>
  <c r="I336" i="41"/>
  <c r="H336" i="41"/>
  <c r="G336" i="41"/>
  <c r="N335" i="41"/>
  <c r="M335" i="41"/>
  <c r="L335" i="41"/>
  <c r="K335" i="41"/>
  <c r="J335" i="41"/>
  <c r="I335" i="41"/>
  <c r="F335" i="41" s="1"/>
  <c r="H335" i="41"/>
  <c r="G335" i="41"/>
  <c r="N328" i="41"/>
  <c r="M328" i="41"/>
  <c r="L328" i="41"/>
  <c r="K328" i="41"/>
  <c r="J328" i="41"/>
  <c r="I328" i="41"/>
  <c r="M327" i="41"/>
  <c r="K327" i="41"/>
  <c r="L323" i="41"/>
  <c r="K323" i="41"/>
  <c r="J323" i="41"/>
  <c r="H323" i="41"/>
  <c r="G323" i="41"/>
  <c r="N317" i="41"/>
  <c r="M317" i="41"/>
  <c r="K317" i="41"/>
  <c r="J317" i="41"/>
  <c r="I317" i="41"/>
  <c r="G317" i="41"/>
  <c r="N316" i="41"/>
  <c r="F316" i="41" s="1"/>
  <c r="M316" i="41"/>
  <c r="L316" i="41"/>
  <c r="K316" i="41"/>
  <c r="J316" i="41"/>
  <c r="I316" i="41"/>
  <c r="H316" i="41"/>
  <c r="G316" i="41"/>
  <c r="N315" i="41"/>
  <c r="M315" i="41"/>
  <c r="L315" i="41"/>
  <c r="K315" i="41"/>
  <c r="J315" i="41"/>
  <c r="I315" i="41"/>
  <c r="H315" i="41"/>
  <c r="G315" i="41"/>
  <c r="N314" i="41"/>
  <c r="M314" i="41"/>
  <c r="L314" i="41"/>
  <c r="K314" i="41"/>
  <c r="J314" i="41"/>
  <c r="I314" i="41"/>
  <c r="H314" i="41"/>
  <c r="L311" i="41"/>
  <c r="K311" i="41"/>
  <c r="J311" i="41"/>
  <c r="H311" i="41"/>
  <c r="G311" i="41"/>
  <c r="N310" i="41"/>
  <c r="M310" i="41"/>
  <c r="K310" i="41"/>
  <c r="J310" i="41"/>
  <c r="I310" i="41"/>
  <c r="N308" i="41"/>
  <c r="M308" i="41"/>
  <c r="L308" i="41"/>
  <c r="K308" i="41"/>
  <c r="I308" i="41"/>
  <c r="H308" i="41"/>
  <c r="E303" i="41"/>
  <c r="E441" i="41" s="1"/>
  <c r="E444" i="41" s="1"/>
  <c r="E454" i="41" s="1"/>
  <c r="E302" i="41"/>
  <c r="E440" i="41" s="1"/>
  <c r="N301" i="41"/>
  <c r="M301" i="41"/>
  <c r="L301" i="41"/>
  <c r="K301" i="41"/>
  <c r="J301" i="41"/>
  <c r="I301" i="41"/>
  <c r="H301" i="41"/>
  <c r="G301" i="41"/>
  <c r="N284" i="41"/>
  <c r="N276" i="41" s="1"/>
  <c r="M284" i="41"/>
  <c r="M276" i="41" s="1"/>
  <c r="L284" i="41"/>
  <c r="L276" i="41" s="1"/>
  <c r="K284" i="41"/>
  <c r="K276" i="41" s="1"/>
  <c r="J284" i="41"/>
  <c r="J276" i="41" s="1"/>
  <c r="I284" i="41"/>
  <c r="I276" i="41" s="1"/>
  <c r="H284" i="41"/>
  <c r="H276" i="41" s="1"/>
  <c r="G284" i="41"/>
  <c r="G276" i="41" s="1"/>
  <c r="N267" i="41"/>
  <c r="M267" i="41"/>
  <c r="L267" i="41"/>
  <c r="K267" i="41"/>
  <c r="J267" i="41"/>
  <c r="I267" i="41"/>
  <c r="H267" i="41"/>
  <c r="G267" i="41"/>
  <c r="N258" i="41"/>
  <c r="M258" i="41"/>
  <c r="L258" i="41"/>
  <c r="K258" i="41"/>
  <c r="J258" i="41"/>
  <c r="I258" i="41"/>
  <c r="H258" i="41"/>
  <c r="G258" i="41"/>
  <c r="F245" i="41"/>
  <c r="E244" i="41"/>
  <c r="E243" i="41"/>
  <c r="E242" i="41"/>
  <c r="D242" i="41"/>
  <c r="C242" i="41"/>
  <c r="D239" i="41"/>
  <c r="D238" i="41"/>
  <c r="D237" i="41"/>
  <c r="N232" i="41"/>
  <c r="N242" i="41" s="1"/>
  <c r="M232" i="41"/>
  <c r="M242" i="41" s="1"/>
  <c r="M111" i="41" s="1"/>
  <c r="L232" i="41"/>
  <c r="L242" i="41" s="1"/>
  <c r="L111" i="41" s="1"/>
  <c r="K232" i="41"/>
  <c r="K242" i="41" s="1"/>
  <c r="K111" i="41" s="1"/>
  <c r="J232" i="41"/>
  <c r="J242" i="41" s="1"/>
  <c r="I232" i="41"/>
  <c r="I242" i="41" s="1"/>
  <c r="H232" i="41"/>
  <c r="G232" i="41"/>
  <c r="C232" i="41"/>
  <c r="E226" i="41"/>
  <c r="E229" i="41" s="1"/>
  <c r="E239" i="41" s="1"/>
  <c r="E225" i="41"/>
  <c r="N223" i="41"/>
  <c r="M223" i="41"/>
  <c r="L223" i="41"/>
  <c r="K223" i="41"/>
  <c r="J223" i="41"/>
  <c r="I223" i="41"/>
  <c r="H223" i="41"/>
  <c r="G223" i="41"/>
  <c r="N220" i="41"/>
  <c r="M220" i="41"/>
  <c r="L220" i="41"/>
  <c r="K220" i="41"/>
  <c r="J220" i="41"/>
  <c r="I220" i="41"/>
  <c r="H220" i="41"/>
  <c r="G220" i="41"/>
  <c r="E214" i="41"/>
  <c r="D214" i="41"/>
  <c r="F213" i="41"/>
  <c r="F212" i="41"/>
  <c r="E211" i="41"/>
  <c r="D211" i="41"/>
  <c r="E210" i="41"/>
  <c r="D210" i="41"/>
  <c r="E209" i="41"/>
  <c r="D209" i="41"/>
  <c r="E208" i="41"/>
  <c r="D208" i="41"/>
  <c r="E205" i="41"/>
  <c r="D205" i="41"/>
  <c r="E204" i="41"/>
  <c r="D204" i="41"/>
  <c r="E203" i="41"/>
  <c r="D203" i="41"/>
  <c r="D202" i="41"/>
  <c r="D201" i="41"/>
  <c r="D200" i="41"/>
  <c r="D198" i="41"/>
  <c r="N178" i="41"/>
  <c r="M178" i="41"/>
  <c r="L178" i="41"/>
  <c r="K178" i="41"/>
  <c r="J178" i="41"/>
  <c r="I178" i="41"/>
  <c r="H178" i="41"/>
  <c r="G178" i="41"/>
  <c r="E173" i="41"/>
  <c r="D173" i="41"/>
  <c r="E172" i="41"/>
  <c r="D172" i="41"/>
  <c r="E171" i="41"/>
  <c r="D171" i="41"/>
  <c r="E170" i="41"/>
  <c r="D170" i="41"/>
  <c r="E169" i="41"/>
  <c r="N169" i="41" s="1"/>
  <c r="N190" i="41" s="1"/>
  <c r="N208" i="41" s="1"/>
  <c r="D169" i="41"/>
  <c r="E166" i="41"/>
  <c r="D166" i="41"/>
  <c r="E165" i="41"/>
  <c r="D165" i="41"/>
  <c r="H164" i="41"/>
  <c r="H185" i="41" s="1"/>
  <c r="E164" i="41"/>
  <c r="D164" i="41"/>
  <c r="D161" i="41"/>
  <c r="D159" i="41"/>
  <c r="N155" i="41"/>
  <c r="N173" i="41" s="1"/>
  <c r="M155" i="41"/>
  <c r="L155" i="41"/>
  <c r="K155" i="41"/>
  <c r="K173" i="41" s="1"/>
  <c r="J155" i="41"/>
  <c r="I155" i="41"/>
  <c r="H155" i="41"/>
  <c r="F155" i="41" s="1"/>
  <c r="G155" i="41"/>
  <c r="N154" i="41"/>
  <c r="M154" i="41"/>
  <c r="M172" i="41" s="1"/>
  <c r="M193" i="41" s="1"/>
  <c r="M211" i="41" s="1"/>
  <c r="L154" i="41"/>
  <c r="K154" i="41"/>
  <c r="J154" i="41"/>
  <c r="J172" i="41" s="1"/>
  <c r="J193" i="41" s="1"/>
  <c r="J211" i="41" s="1"/>
  <c r="I154" i="41"/>
  <c r="I172" i="41" s="1"/>
  <c r="I193" i="41" s="1"/>
  <c r="H154" i="41"/>
  <c r="H172" i="41" s="1"/>
  <c r="H193" i="41" s="1"/>
  <c r="H211" i="41" s="1"/>
  <c r="G154" i="41"/>
  <c r="N153" i="41"/>
  <c r="M153" i="41"/>
  <c r="L153" i="41"/>
  <c r="L171" i="41" s="1"/>
  <c r="L192" i="41" s="1"/>
  <c r="L210" i="41" s="1"/>
  <c r="K153" i="41"/>
  <c r="J153" i="41"/>
  <c r="J171" i="41" s="1"/>
  <c r="J192" i="41" s="1"/>
  <c r="J210" i="41" s="1"/>
  <c r="I153" i="41"/>
  <c r="H153" i="41"/>
  <c r="G153" i="41"/>
  <c r="N152" i="41"/>
  <c r="M152" i="41"/>
  <c r="M170" i="41" s="1"/>
  <c r="M191" i="41" s="1"/>
  <c r="M209" i="41" s="1"/>
  <c r="L152" i="41"/>
  <c r="K152" i="41"/>
  <c r="K170" i="41" s="1"/>
  <c r="K191" i="41" s="1"/>
  <c r="K209" i="41" s="1"/>
  <c r="J152" i="41"/>
  <c r="J170" i="41" s="1"/>
  <c r="J191" i="41" s="1"/>
  <c r="J209" i="41" s="1"/>
  <c r="I152" i="41"/>
  <c r="I170" i="41" s="1"/>
  <c r="I191" i="41" s="1"/>
  <c r="I209" i="41" s="1"/>
  <c r="H152" i="41"/>
  <c r="H170" i="41" s="1"/>
  <c r="H191" i="41" s="1"/>
  <c r="H209" i="41" s="1"/>
  <c r="G152" i="41"/>
  <c r="N151" i="41"/>
  <c r="M151" i="41"/>
  <c r="M169" i="41" s="1"/>
  <c r="M190" i="41" s="1"/>
  <c r="M208" i="41" s="1"/>
  <c r="L151" i="41"/>
  <c r="K151" i="41"/>
  <c r="J151" i="41"/>
  <c r="I151" i="41"/>
  <c r="H151" i="41"/>
  <c r="G151" i="41"/>
  <c r="N148" i="41"/>
  <c r="M148" i="41"/>
  <c r="M166" i="41" s="1"/>
  <c r="M187" i="41" s="1"/>
  <c r="M205" i="41" s="1"/>
  <c r="L148" i="41"/>
  <c r="K148" i="41"/>
  <c r="J148" i="41"/>
  <c r="I148" i="41"/>
  <c r="I166" i="41" s="1"/>
  <c r="I187" i="41" s="1"/>
  <c r="I205" i="41" s="1"/>
  <c r="H148" i="41"/>
  <c r="G148" i="41"/>
  <c r="N147" i="41"/>
  <c r="M147" i="41"/>
  <c r="M165" i="41" s="1"/>
  <c r="M186" i="41" s="1"/>
  <c r="L147" i="41"/>
  <c r="L165" i="41" s="1"/>
  <c r="L186" i="41" s="1"/>
  <c r="L204" i="41" s="1"/>
  <c r="K147" i="41"/>
  <c r="J147" i="41"/>
  <c r="I147" i="41"/>
  <c r="I165" i="41" s="1"/>
  <c r="I186" i="41" s="1"/>
  <c r="H147" i="41"/>
  <c r="G147" i="41"/>
  <c r="N146" i="41"/>
  <c r="M146" i="41"/>
  <c r="M164" i="41" s="1"/>
  <c r="M185" i="41" s="1"/>
  <c r="M203" i="41" s="1"/>
  <c r="L146" i="41"/>
  <c r="K146" i="41"/>
  <c r="K164" i="41" s="1"/>
  <c r="K185" i="41" s="1"/>
  <c r="K203" i="41" s="1"/>
  <c r="J146" i="41"/>
  <c r="J164" i="41" s="1"/>
  <c r="J185" i="41" s="1"/>
  <c r="J203" i="41" s="1"/>
  <c r="I146" i="41"/>
  <c r="I164" i="41" s="1"/>
  <c r="I185" i="41" s="1"/>
  <c r="H146" i="41"/>
  <c r="G146" i="41"/>
  <c r="N145" i="41"/>
  <c r="M145" i="41"/>
  <c r="L145" i="41"/>
  <c r="K145" i="41"/>
  <c r="J145" i="41"/>
  <c r="I145" i="41"/>
  <c r="F145" i="41" s="1"/>
  <c r="H145" i="41"/>
  <c r="G145" i="41"/>
  <c r="N144" i="41"/>
  <c r="M144" i="41"/>
  <c r="L144" i="41"/>
  <c r="K144" i="41"/>
  <c r="J144" i="41"/>
  <c r="I144" i="41"/>
  <c r="H144" i="41"/>
  <c r="G144" i="41"/>
  <c r="N139" i="41"/>
  <c r="M139" i="41"/>
  <c r="L139" i="41"/>
  <c r="K139" i="41"/>
  <c r="J139" i="41"/>
  <c r="I139" i="41"/>
  <c r="H139" i="41"/>
  <c r="G139" i="41"/>
  <c r="F136" i="41"/>
  <c r="F135" i="41"/>
  <c r="F134" i="41"/>
  <c r="F133" i="41"/>
  <c r="N132" i="41"/>
  <c r="M132" i="41"/>
  <c r="L132" i="41"/>
  <c r="K132" i="41"/>
  <c r="K348" i="41" s="1"/>
  <c r="J132" i="41"/>
  <c r="I132" i="41"/>
  <c r="H132" i="41"/>
  <c r="G132" i="41"/>
  <c r="G194" i="41" s="1"/>
  <c r="G214" i="41" s="1"/>
  <c r="N131" i="41"/>
  <c r="M131" i="41"/>
  <c r="L131" i="41"/>
  <c r="K131" i="41"/>
  <c r="J131" i="41"/>
  <c r="I131" i="41"/>
  <c r="F131" i="41" s="1"/>
  <c r="H131" i="41"/>
  <c r="G131" i="41"/>
  <c r="F130" i="41"/>
  <c r="F129" i="41"/>
  <c r="F128" i="41"/>
  <c r="F127" i="41"/>
  <c r="F126" i="41"/>
  <c r="F123" i="41"/>
  <c r="F122" i="41"/>
  <c r="F121" i="41"/>
  <c r="F120" i="41"/>
  <c r="F119" i="41"/>
  <c r="N118" i="41"/>
  <c r="N143" i="41" s="1"/>
  <c r="N160" i="41" s="1"/>
  <c r="N161" i="41" s="1"/>
  <c r="M118" i="41"/>
  <c r="L118" i="41"/>
  <c r="L143" i="41" s="1"/>
  <c r="L160" i="41" s="1"/>
  <c r="L163" i="41" s="1"/>
  <c r="L184" i="41" s="1"/>
  <c r="K118" i="41"/>
  <c r="J118" i="41"/>
  <c r="J143" i="41" s="1"/>
  <c r="I118" i="41"/>
  <c r="H118" i="41"/>
  <c r="H143" i="41" s="1"/>
  <c r="G118" i="41"/>
  <c r="N117" i="41"/>
  <c r="M117" i="41"/>
  <c r="M142" i="41" s="1"/>
  <c r="L117" i="41"/>
  <c r="K117" i="41"/>
  <c r="K142" i="41" s="1"/>
  <c r="J117" i="41"/>
  <c r="I117" i="41"/>
  <c r="I142" i="41" s="1"/>
  <c r="H117" i="41"/>
  <c r="G117" i="41"/>
  <c r="G333" i="41" s="1"/>
  <c r="N115" i="41"/>
  <c r="M115" i="41"/>
  <c r="L115" i="41"/>
  <c r="K115" i="41"/>
  <c r="J115" i="41"/>
  <c r="I115" i="41"/>
  <c r="H115" i="41"/>
  <c r="G115" i="41"/>
  <c r="N112" i="41"/>
  <c r="M112" i="41"/>
  <c r="L112" i="41"/>
  <c r="K112" i="41"/>
  <c r="J112" i="41"/>
  <c r="I112" i="41"/>
  <c r="H112" i="41"/>
  <c r="G112" i="41"/>
  <c r="N111" i="41"/>
  <c r="J111" i="41"/>
  <c r="I111" i="41"/>
  <c r="N107" i="41"/>
  <c r="M107" i="41"/>
  <c r="L107" i="41"/>
  <c r="K107" i="41"/>
  <c r="J107" i="41"/>
  <c r="I107" i="41"/>
  <c r="H107" i="41"/>
  <c r="G107" i="41"/>
  <c r="N101" i="41"/>
  <c r="M101" i="41"/>
  <c r="L101" i="41"/>
  <c r="K101" i="41"/>
  <c r="J101" i="41"/>
  <c r="I101" i="41"/>
  <c r="H101" i="41"/>
  <c r="G101" i="41"/>
  <c r="F100" i="41"/>
  <c r="F99" i="41"/>
  <c r="F98" i="41"/>
  <c r="N95" i="41"/>
  <c r="M95" i="41"/>
  <c r="L95" i="41"/>
  <c r="K95" i="41"/>
  <c r="J95" i="41"/>
  <c r="I95" i="41"/>
  <c r="H95" i="41"/>
  <c r="G95" i="41"/>
  <c r="N94" i="41"/>
  <c r="M94" i="41"/>
  <c r="L94" i="41"/>
  <c r="K94" i="41"/>
  <c r="J94" i="41"/>
  <c r="I94" i="41"/>
  <c r="H94" i="41"/>
  <c r="G94" i="41"/>
  <c r="F92" i="41"/>
  <c r="C83" i="41"/>
  <c r="F82" i="41"/>
  <c r="F298" i="41" s="1"/>
  <c r="M66" i="41"/>
  <c r="F59" i="41"/>
  <c r="F45" i="41"/>
  <c r="F44" i="41"/>
  <c r="F43" i="41"/>
  <c r="F42" i="41"/>
  <c r="N41" i="41"/>
  <c r="M41" i="41"/>
  <c r="L41" i="41"/>
  <c r="K41" i="41"/>
  <c r="J41" i="41"/>
  <c r="I41" i="41"/>
  <c r="H41" i="41"/>
  <c r="F41" i="41" s="1"/>
  <c r="G41" i="41"/>
  <c r="N40" i="41"/>
  <c r="M40" i="41"/>
  <c r="L40" i="41"/>
  <c r="K40" i="41"/>
  <c r="J40" i="41"/>
  <c r="I40" i="41"/>
  <c r="H40" i="41"/>
  <c r="G40" i="41"/>
  <c r="F40" i="41" s="1"/>
  <c r="F39" i="41"/>
  <c r="F38" i="41"/>
  <c r="F37" i="41"/>
  <c r="F36" i="41"/>
  <c r="F35" i="41"/>
  <c r="F32" i="41"/>
  <c r="F31" i="41"/>
  <c r="F30" i="41"/>
  <c r="F29" i="41"/>
  <c r="F28" i="41"/>
  <c r="F24" i="41"/>
  <c r="F23" i="41"/>
  <c r="N18" i="41"/>
  <c r="M18" i="41"/>
  <c r="L18" i="41"/>
  <c r="K18" i="41"/>
  <c r="I18" i="41"/>
  <c r="H18" i="41"/>
  <c r="N12" i="41"/>
  <c r="N306" i="41" s="1"/>
  <c r="M12" i="41"/>
  <c r="M306" i="41" s="1"/>
  <c r="L12" i="41"/>
  <c r="L306" i="41" s="1"/>
  <c r="K12" i="41"/>
  <c r="K306" i="41" s="1"/>
  <c r="J12" i="41"/>
  <c r="J306" i="41" s="1"/>
  <c r="I12" i="41"/>
  <c r="I306" i="41" s="1"/>
  <c r="H12" i="41"/>
  <c r="H306" i="41" s="1"/>
  <c r="G12" i="41"/>
  <c r="G306" i="41" s="1"/>
  <c r="N11" i="41"/>
  <c r="N305" i="41" s="1"/>
  <c r="M11" i="41"/>
  <c r="M305" i="41" s="1"/>
  <c r="L11" i="41"/>
  <c r="L305" i="41" s="1"/>
  <c r="K11" i="41"/>
  <c r="K305" i="41" s="1"/>
  <c r="J11" i="41"/>
  <c r="J305" i="41" s="1"/>
  <c r="I11" i="41"/>
  <c r="I305" i="41" s="1"/>
  <c r="H11" i="41"/>
  <c r="H305" i="41" s="1"/>
  <c r="G11" i="41"/>
  <c r="G305" i="41" s="1"/>
  <c r="N10" i="41"/>
  <c r="N304" i="41" s="1"/>
  <c r="M10" i="41"/>
  <c r="M304" i="41" s="1"/>
  <c r="L10" i="41"/>
  <c r="L304" i="41" s="1"/>
  <c r="K10" i="41"/>
  <c r="K304" i="41" s="1"/>
  <c r="J10" i="41"/>
  <c r="J304" i="41" s="1"/>
  <c r="I10" i="41"/>
  <c r="I304" i="41" s="1"/>
  <c r="I368" i="41" s="1"/>
  <c r="I386" i="41" s="1"/>
  <c r="H10" i="41"/>
  <c r="H304" i="41" s="1"/>
  <c r="G10" i="41"/>
  <c r="G304" i="41" s="1"/>
  <c r="G370" i="41" s="1"/>
  <c r="N9" i="41"/>
  <c r="N26" i="41" s="1"/>
  <c r="M9" i="41"/>
  <c r="M27" i="41" s="1"/>
  <c r="L9" i="41"/>
  <c r="L26" i="41" s="1"/>
  <c r="K9" i="41"/>
  <c r="K27" i="41" s="1"/>
  <c r="J9" i="41"/>
  <c r="J26" i="41" s="1"/>
  <c r="I9" i="41"/>
  <c r="I27" i="41" s="1"/>
  <c r="H9" i="41"/>
  <c r="H27" i="41" s="1"/>
  <c r="G9" i="41"/>
  <c r="N8" i="41"/>
  <c r="M8" i="41"/>
  <c r="M300" i="41" s="1"/>
  <c r="L8" i="41"/>
  <c r="K8" i="41"/>
  <c r="K300" i="41" s="1"/>
  <c r="J8" i="41"/>
  <c r="I8" i="41"/>
  <c r="I300" i="41" s="1"/>
  <c r="H8" i="41"/>
  <c r="G8" i="41"/>
  <c r="G300" i="41" s="1"/>
  <c r="N3" i="41"/>
  <c r="N302" i="41" s="1"/>
  <c r="M3" i="41"/>
  <c r="M302" i="41" s="1"/>
  <c r="L3" i="41"/>
  <c r="L302" i="41" s="1"/>
  <c r="K3" i="41"/>
  <c r="K302" i="41" s="1"/>
  <c r="J3" i="41"/>
  <c r="J302" i="41" s="1"/>
  <c r="I3" i="41"/>
  <c r="I302" i="41" s="1"/>
  <c r="H3" i="41"/>
  <c r="H302" i="41" s="1"/>
  <c r="G3" i="41"/>
  <c r="G302" i="41" s="1"/>
  <c r="N460" i="40"/>
  <c r="N328" i="40" s="1"/>
  <c r="M460" i="40"/>
  <c r="L460" i="40"/>
  <c r="K460" i="40"/>
  <c r="J460" i="40"/>
  <c r="I460" i="40"/>
  <c r="H460" i="40"/>
  <c r="G460" i="40"/>
  <c r="E459" i="40"/>
  <c r="E458" i="40"/>
  <c r="E457" i="40"/>
  <c r="D457" i="40"/>
  <c r="C457" i="40"/>
  <c r="D454" i="40"/>
  <c r="D453" i="40"/>
  <c r="D452" i="40"/>
  <c r="C447" i="40"/>
  <c r="M438" i="40"/>
  <c r="L438" i="40"/>
  <c r="K438" i="40"/>
  <c r="J438" i="40"/>
  <c r="I438" i="40"/>
  <c r="H438" i="40"/>
  <c r="G438" i="40"/>
  <c r="E430" i="40"/>
  <c r="D430" i="40"/>
  <c r="F429" i="40"/>
  <c r="N428" i="40"/>
  <c r="M428" i="40"/>
  <c r="L428" i="40"/>
  <c r="K428" i="40"/>
  <c r="K323" i="40" s="1"/>
  <c r="J428" i="40"/>
  <c r="J323" i="40" s="1"/>
  <c r="I428" i="40"/>
  <c r="H428" i="40"/>
  <c r="G428" i="40"/>
  <c r="E427" i="40"/>
  <c r="D427" i="40"/>
  <c r="E426" i="40"/>
  <c r="D426" i="40"/>
  <c r="E425" i="40"/>
  <c r="D425" i="40"/>
  <c r="E424" i="40"/>
  <c r="D424" i="40"/>
  <c r="E421" i="40"/>
  <c r="D421" i="40"/>
  <c r="E420" i="40"/>
  <c r="D420" i="40"/>
  <c r="E419" i="40"/>
  <c r="D419" i="40"/>
  <c r="D418" i="40"/>
  <c r="D417" i="40"/>
  <c r="D416" i="40"/>
  <c r="D414" i="40"/>
  <c r="E389" i="40"/>
  <c r="D389" i="40"/>
  <c r="E388" i="40"/>
  <c r="D388" i="40"/>
  <c r="E387" i="40"/>
  <c r="D387" i="40"/>
  <c r="E386" i="40"/>
  <c r="D386" i="40"/>
  <c r="E385" i="40"/>
  <c r="D385" i="40"/>
  <c r="E382" i="40"/>
  <c r="D382" i="40"/>
  <c r="E381" i="40"/>
  <c r="D381" i="40"/>
  <c r="E380" i="40"/>
  <c r="D380" i="40"/>
  <c r="D377" i="40"/>
  <c r="D375" i="40"/>
  <c r="N352" i="40"/>
  <c r="N447" i="40" s="1"/>
  <c r="N457" i="40" s="1"/>
  <c r="M352" i="40"/>
  <c r="M447" i="40" s="1"/>
  <c r="M457" i="40" s="1"/>
  <c r="L352" i="40"/>
  <c r="L447" i="40" s="1"/>
  <c r="L457" i="40" s="1"/>
  <c r="K352" i="40"/>
  <c r="K447" i="40" s="1"/>
  <c r="K457" i="40" s="1"/>
  <c r="J352" i="40"/>
  <c r="J447" i="40" s="1"/>
  <c r="J457" i="40" s="1"/>
  <c r="J327" i="40" s="1"/>
  <c r="I352" i="40"/>
  <c r="I447" i="40" s="1"/>
  <c r="I457" i="40" s="1"/>
  <c r="H352" i="40"/>
  <c r="H447" i="40" s="1"/>
  <c r="H457" i="40" s="1"/>
  <c r="H327" i="40" s="1"/>
  <c r="G352" i="40"/>
  <c r="G447" i="40" s="1"/>
  <c r="N351" i="40"/>
  <c r="N317" i="40" s="1"/>
  <c r="M351" i="40"/>
  <c r="M317" i="40" s="1"/>
  <c r="L351" i="40"/>
  <c r="K351" i="40"/>
  <c r="J351" i="40"/>
  <c r="J317" i="40" s="1"/>
  <c r="I351" i="40"/>
  <c r="H351" i="40"/>
  <c r="G351" i="40"/>
  <c r="N350" i="40"/>
  <c r="N311" i="40" s="1"/>
  <c r="M350" i="40"/>
  <c r="L350" i="40"/>
  <c r="L311" i="40" s="1"/>
  <c r="K350" i="40"/>
  <c r="K311" i="40" s="1"/>
  <c r="J350" i="40"/>
  <c r="I350" i="40"/>
  <c r="H350" i="40"/>
  <c r="G350" i="40"/>
  <c r="N349" i="40"/>
  <c r="M349" i="40"/>
  <c r="L349" i="40"/>
  <c r="K349" i="40"/>
  <c r="J349" i="40"/>
  <c r="I349" i="40"/>
  <c r="H349" i="40"/>
  <c r="G349" i="40"/>
  <c r="N346" i="40"/>
  <c r="M346" i="40"/>
  <c r="L346" i="40"/>
  <c r="K346" i="40"/>
  <c r="J346" i="40"/>
  <c r="I346" i="40"/>
  <c r="H346" i="40"/>
  <c r="G346" i="40"/>
  <c r="N345" i="40"/>
  <c r="M345" i="40"/>
  <c r="L345" i="40"/>
  <c r="K345" i="40"/>
  <c r="J345" i="40"/>
  <c r="I345" i="40"/>
  <c r="H345" i="40"/>
  <c r="G345" i="40"/>
  <c r="N344" i="40"/>
  <c r="M344" i="40"/>
  <c r="L344" i="40"/>
  <c r="K344" i="40"/>
  <c r="J344" i="40"/>
  <c r="I344" i="40"/>
  <c r="H344" i="40"/>
  <c r="G344" i="40"/>
  <c r="N343" i="40"/>
  <c r="M343" i="40"/>
  <c r="L343" i="40"/>
  <c r="K343" i="40"/>
  <c r="J343" i="40"/>
  <c r="I343" i="40"/>
  <c r="H343" i="40"/>
  <c r="G343" i="40"/>
  <c r="F343" i="40" s="1"/>
  <c r="N342" i="40"/>
  <c r="M342" i="40"/>
  <c r="L342" i="40"/>
  <c r="K342" i="40"/>
  <c r="J342" i="40"/>
  <c r="I342" i="40"/>
  <c r="H342" i="40"/>
  <c r="G342" i="40"/>
  <c r="N341" i="40"/>
  <c r="M341" i="40"/>
  <c r="L341" i="40"/>
  <c r="K341" i="40"/>
  <c r="J341" i="40"/>
  <c r="I341" i="40"/>
  <c r="H341" i="40"/>
  <c r="G341" i="40"/>
  <c r="N340" i="40"/>
  <c r="M340" i="40"/>
  <c r="L340" i="40"/>
  <c r="K340" i="40"/>
  <c r="J340" i="40"/>
  <c r="I340" i="40"/>
  <c r="H340" i="40"/>
  <c r="G340" i="40"/>
  <c r="N339" i="40"/>
  <c r="M339" i="40"/>
  <c r="L339" i="40"/>
  <c r="K339" i="40"/>
  <c r="J339" i="40"/>
  <c r="I339" i="40"/>
  <c r="H339" i="40"/>
  <c r="G339" i="40"/>
  <c r="N338" i="40"/>
  <c r="M338" i="40"/>
  <c r="L338" i="40"/>
  <c r="K338" i="40"/>
  <c r="J338" i="40"/>
  <c r="I338" i="40"/>
  <c r="H338" i="40"/>
  <c r="G338" i="40"/>
  <c r="N337" i="40"/>
  <c r="M337" i="40"/>
  <c r="L337" i="40"/>
  <c r="K337" i="40"/>
  <c r="J337" i="40"/>
  <c r="I337" i="40"/>
  <c r="H337" i="40"/>
  <c r="G337" i="40"/>
  <c r="F337" i="40" s="1"/>
  <c r="N336" i="40"/>
  <c r="M336" i="40"/>
  <c r="L336" i="40"/>
  <c r="K336" i="40"/>
  <c r="J336" i="40"/>
  <c r="I336" i="40"/>
  <c r="H336" i="40"/>
  <c r="G336" i="40"/>
  <c r="N335" i="40"/>
  <c r="M335" i="40"/>
  <c r="L335" i="40"/>
  <c r="K335" i="40"/>
  <c r="J335" i="40"/>
  <c r="I335" i="40"/>
  <c r="H335" i="40"/>
  <c r="G335" i="40"/>
  <c r="M328" i="40"/>
  <c r="L328" i="40"/>
  <c r="K328" i="40"/>
  <c r="J328" i="40"/>
  <c r="I328" i="40"/>
  <c r="H328" i="40"/>
  <c r="G328" i="40"/>
  <c r="N327" i="40"/>
  <c r="M327" i="40"/>
  <c r="L327" i="40"/>
  <c r="K327" i="40"/>
  <c r="I327" i="40"/>
  <c r="N323" i="40"/>
  <c r="M323" i="40"/>
  <c r="L323" i="40"/>
  <c r="I323" i="40"/>
  <c r="H323" i="40"/>
  <c r="G323" i="40"/>
  <c r="L317" i="40"/>
  <c r="K317" i="40"/>
  <c r="I317" i="40"/>
  <c r="H317" i="40"/>
  <c r="G317" i="40"/>
  <c r="N316" i="40"/>
  <c r="M316" i="40"/>
  <c r="L316" i="40"/>
  <c r="K316" i="40"/>
  <c r="J316" i="40"/>
  <c r="I316" i="40"/>
  <c r="H316" i="40"/>
  <c r="F316" i="40" s="1"/>
  <c r="G316" i="40"/>
  <c r="N315" i="40"/>
  <c r="M315" i="40"/>
  <c r="L315" i="40"/>
  <c r="K315" i="40"/>
  <c r="J315" i="40"/>
  <c r="I315" i="40"/>
  <c r="H315" i="40"/>
  <c r="G315" i="40"/>
  <c r="N314" i="40"/>
  <c r="M314" i="40"/>
  <c r="L314" i="40"/>
  <c r="K314" i="40"/>
  <c r="J314" i="40"/>
  <c r="I314" i="40"/>
  <c r="H314" i="40"/>
  <c r="M311" i="40"/>
  <c r="J311" i="40"/>
  <c r="I311" i="40"/>
  <c r="H311" i="40"/>
  <c r="N310" i="40"/>
  <c r="M310" i="40"/>
  <c r="L310" i="40"/>
  <c r="K310" i="40"/>
  <c r="I310" i="40"/>
  <c r="G310" i="40"/>
  <c r="N308" i="40"/>
  <c r="M308" i="40"/>
  <c r="L308" i="40"/>
  <c r="K308" i="40"/>
  <c r="J308" i="40"/>
  <c r="H308" i="40"/>
  <c r="E303" i="40"/>
  <c r="E441" i="40" s="1"/>
  <c r="E444" i="40" s="1"/>
  <c r="E454" i="40" s="1"/>
  <c r="E302" i="40"/>
  <c r="E440" i="40" s="1"/>
  <c r="N301" i="40"/>
  <c r="M301" i="40"/>
  <c r="L301" i="40"/>
  <c r="K301" i="40"/>
  <c r="J301" i="40"/>
  <c r="I301" i="40"/>
  <c r="H301" i="40"/>
  <c r="G301" i="40"/>
  <c r="N284" i="40"/>
  <c r="M284" i="40"/>
  <c r="L284" i="40"/>
  <c r="K284" i="40"/>
  <c r="J284" i="40"/>
  <c r="J276" i="40" s="1"/>
  <c r="I284" i="40"/>
  <c r="H284" i="40"/>
  <c r="H276" i="40" s="1"/>
  <c r="G284" i="40"/>
  <c r="G276" i="40" s="1"/>
  <c r="N276" i="40"/>
  <c r="M276" i="40"/>
  <c r="L276" i="40"/>
  <c r="K276" i="40"/>
  <c r="I276" i="40"/>
  <c r="N267" i="40"/>
  <c r="M267" i="40"/>
  <c r="L267" i="40"/>
  <c r="K267" i="40"/>
  <c r="J267" i="40"/>
  <c r="I267" i="40"/>
  <c r="H267" i="40"/>
  <c r="G267" i="40"/>
  <c r="N258" i="40"/>
  <c r="M258" i="40"/>
  <c r="L258" i="40"/>
  <c r="K258" i="40"/>
  <c r="J258" i="40"/>
  <c r="I258" i="40"/>
  <c r="H258" i="40"/>
  <c r="G258" i="40"/>
  <c r="F245" i="40"/>
  <c r="E244" i="40"/>
  <c r="E243" i="40"/>
  <c r="I242" i="40"/>
  <c r="E242" i="40"/>
  <c r="D242" i="40"/>
  <c r="C242" i="40"/>
  <c r="D239" i="40"/>
  <c r="D238" i="40"/>
  <c r="D237" i="40"/>
  <c r="N232" i="40"/>
  <c r="N242" i="40" s="1"/>
  <c r="M232" i="40"/>
  <c r="M242" i="40" s="1"/>
  <c r="M111" i="40" s="1"/>
  <c r="L232" i="40"/>
  <c r="L242" i="40" s="1"/>
  <c r="K232" i="40"/>
  <c r="F232" i="40" s="1"/>
  <c r="J232" i="40"/>
  <c r="J242" i="40" s="1"/>
  <c r="I232" i="40"/>
  <c r="H232" i="40"/>
  <c r="H242" i="40" s="1"/>
  <c r="G232" i="40"/>
  <c r="C232" i="40"/>
  <c r="E226" i="40"/>
  <c r="E229" i="40" s="1"/>
  <c r="E239" i="40" s="1"/>
  <c r="E225" i="40"/>
  <c r="N223" i="40"/>
  <c r="M223" i="40"/>
  <c r="L223" i="40"/>
  <c r="K223" i="40"/>
  <c r="J223" i="40"/>
  <c r="I223" i="40"/>
  <c r="H223" i="40"/>
  <c r="G223" i="40"/>
  <c r="N220" i="40"/>
  <c r="M220" i="40"/>
  <c r="L220" i="40"/>
  <c r="K220" i="40"/>
  <c r="J220" i="40"/>
  <c r="I220" i="40"/>
  <c r="H220" i="40"/>
  <c r="G220" i="40"/>
  <c r="E214" i="40"/>
  <c r="D214" i="40"/>
  <c r="F213" i="40"/>
  <c r="F212" i="40"/>
  <c r="E211" i="40"/>
  <c r="D211" i="40"/>
  <c r="E210" i="40"/>
  <c r="D210" i="40"/>
  <c r="E209" i="40"/>
  <c r="D209" i="40"/>
  <c r="E208" i="40"/>
  <c r="D208" i="40"/>
  <c r="E205" i="40"/>
  <c r="D205" i="40"/>
  <c r="E204" i="40"/>
  <c r="D204" i="40"/>
  <c r="E203" i="40"/>
  <c r="D203" i="40"/>
  <c r="D202" i="40"/>
  <c r="D201" i="40"/>
  <c r="D200" i="40"/>
  <c r="D198" i="40"/>
  <c r="N178" i="40"/>
  <c r="M178" i="40"/>
  <c r="L178" i="40"/>
  <c r="K178" i="40"/>
  <c r="J178" i="40"/>
  <c r="I178" i="40"/>
  <c r="H178" i="40"/>
  <c r="G178" i="40"/>
  <c r="E173" i="40"/>
  <c r="D173" i="40"/>
  <c r="N172" i="40"/>
  <c r="N193" i="40" s="1"/>
  <c r="N211" i="40" s="1"/>
  <c r="E172" i="40"/>
  <c r="D172" i="40"/>
  <c r="E171" i="40"/>
  <c r="L171" i="40" s="1"/>
  <c r="L192" i="40" s="1"/>
  <c r="L210" i="40" s="1"/>
  <c r="D171" i="40"/>
  <c r="N170" i="40"/>
  <c r="N191" i="40" s="1"/>
  <c r="N209" i="40" s="1"/>
  <c r="E170" i="40"/>
  <c r="D170" i="40"/>
  <c r="E169" i="40"/>
  <c r="D169" i="40"/>
  <c r="E166" i="40"/>
  <c r="D166" i="40"/>
  <c r="H165" i="40"/>
  <c r="H186" i="40" s="1"/>
  <c r="H204" i="40" s="1"/>
  <c r="E165" i="40"/>
  <c r="D165" i="40"/>
  <c r="E164" i="40"/>
  <c r="D164" i="40"/>
  <c r="D161" i="40"/>
  <c r="D159" i="40"/>
  <c r="N155" i="40"/>
  <c r="M155" i="40"/>
  <c r="L155" i="40"/>
  <c r="K155" i="40"/>
  <c r="K173" i="40" s="1"/>
  <c r="J155" i="40"/>
  <c r="I155" i="40"/>
  <c r="H155" i="40"/>
  <c r="H173" i="40" s="1"/>
  <c r="G155" i="40"/>
  <c r="G173" i="40" s="1"/>
  <c r="F155" i="40"/>
  <c r="N154" i="40"/>
  <c r="M154" i="40"/>
  <c r="M172" i="40" s="1"/>
  <c r="M193" i="40" s="1"/>
  <c r="L154" i="40"/>
  <c r="L172" i="40" s="1"/>
  <c r="L193" i="40" s="1"/>
  <c r="K154" i="40"/>
  <c r="J154" i="40"/>
  <c r="J172" i="40" s="1"/>
  <c r="J193" i="40" s="1"/>
  <c r="J211" i="40" s="1"/>
  <c r="I154" i="40"/>
  <c r="I172" i="40" s="1"/>
  <c r="I193" i="40" s="1"/>
  <c r="H154" i="40"/>
  <c r="H172" i="40" s="1"/>
  <c r="H193" i="40" s="1"/>
  <c r="H211" i="40" s="1"/>
  <c r="G154" i="40"/>
  <c r="N153" i="40"/>
  <c r="N171" i="40" s="1"/>
  <c r="N192" i="40" s="1"/>
  <c r="N210" i="40" s="1"/>
  <c r="M153" i="40"/>
  <c r="L153" i="40"/>
  <c r="K153" i="40"/>
  <c r="J153" i="40"/>
  <c r="I153" i="40"/>
  <c r="H153" i="40"/>
  <c r="G153" i="40"/>
  <c r="N152" i="40"/>
  <c r="M152" i="40"/>
  <c r="M170" i="40" s="1"/>
  <c r="M191" i="40" s="1"/>
  <c r="M209" i="40" s="1"/>
  <c r="L152" i="40"/>
  <c r="L170" i="40" s="1"/>
  <c r="L191" i="40" s="1"/>
  <c r="L209" i="40" s="1"/>
  <c r="K152" i="40"/>
  <c r="J152" i="40"/>
  <c r="J170" i="40" s="1"/>
  <c r="J191" i="40" s="1"/>
  <c r="J209" i="40" s="1"/>
  <c r="I152" i="40"/>
  <c r="H152" i="40"/>
  <c r="G152" i="40"/>
  <c r="N151" i="40"/>
  <c r="N169" i="40" s="1"/>
  <c r="N190" i="40" s="1"/>
  <c r="N208" i="40" s="1"/>
  <c r="M151" i="40"/>
  <c r="M169" i="40" s="1"/>
  <c r="M190" i="40" s="1"/>
  <c r="M208" i="40" s="1"/>
  <c r="L151" i="40"/>
  <c r="L169" i="40" s="1"/>
  <c r="L190" i="40" s="1"/>
  <c r="L208" i="40" s="1"/>
  <c r="K151" i="40"/>
  <c r="K169" i="40" s="1"/>
  <c r="K190" i="40" s="1"/>
  <c r="K208" i="40" s="1"/>
  <c r="J151" i="40"/>
  <c r="J169" i="40" s="1"/>
  <c r="J190" i="40" s="1"/>
  <c r="J208" i="40" s="1"/>
  <c r="I151" i="40"/>
  <c r="I169" i="40" s="1"/>
  <c r="I190" i="40" s="1"/>
  <c r="I208" i="40" s="1"/>
  <c r="H151" i="40"/>
  <c r="H169" i="40" s="1"/>
  <c r="H190" i="40" s="1"/>
  <c r="H208" i="40" s="1"/>
  <c r="G151" i="40"/>
  <c r="G169" i="40" s="1"/>
  <c r="G190" i="40" s="1"/>
  <c r="N148" i="40"/>
  <c r="N166" i="40" s="1"/>
  <c r="N187" i="40" s="1"/>
  <c r="N205" i="40" s="1"/>
  <c r="M148" i="40"/>
  <c r="L148" i="40"/>
  <c r="K148" i="40"/>
  <c r="J148" i="40"/>
  <c r="J166" i="40" s="1"/>
  <c r="J187" i="40" s="1"/>
  <c r="J205" i="40" s="1"/>
  <c r="I148" i="40"/>
  <c r="I166" i="40" s="1"/>
  <c r="I187" i="40" s="1"/>
  <c r="I205" i="40" s="1"/>
  <c r="H148" i="40"/>
  <c r="G148" i="40"/>
  <c r="N147" i="40"/>
  <c r="M147" i="40"/>
  <c r="L147" i="40"/>
  <c r="L165" i="40" s="1"/>
  <c r="L186" i="40" s="1"/>
  <c r="L204" i="40" s="1"/>
  <c r="K147" i="40"/>
  <c r="K165" i="40" s="1"/>
  <c r="K186" i="40" s="1"/>
  <c r="J147" i="40"/>
  <c r="I147" i="40"/>
  <c r="I165" i="40" s="1"/>
  <c r="I186" i="40" s="1"/>
  <c r="H147" i="40"/>
  <c r="G147" i="40"/>
  <c r="G165" i="40" s="1"/>
  <c r="G186" i="40" s="1"/>
  <c r="N146" i="40"/>
  <c r="N164" i="40" s="1"/>
  <c r="N185" i="40" s="1"/>
  <c r="M146" i="40"/>
  <c r="L146" i="40"/>
  <c r="K146" i="40"/>
  <c r="J146" i="40"/>
  <c r="J164" i="40" s="1"/>
  <c r="J185" i="40" s="1"/>
  <c r="I146" i="40"/>
  <c r="H146" i="40"/>
  <c r="G146" i="40"/>
  <c r="N145" i="40"/>
  <c r="M145" i="40"/>
  <c r="L145" i="40"/>
  <c r="K145" i="40"/>
  <c r="J145" i="40"/>
  <c r="I145" i="40"/>
  <c r="H145" i="40"/>
  <c r="G145" i="40"/>
  <c r="F145" i="40" s="1"/>
  <c r="N144" i="40"/>
  <c r="M144" i="40"/>
  <c r="L144" i="40"/>
  <c r="K144" i="40"/>
  <c r="J144" i="40"/>
  <c r="I144" i="40"/>
  <c r="H144" i="40"/>
  <c r="G144" i="40"/>
  <c r="N139" i="40"/>
  <c r="M139" i="40"/>
  <c r="L139" i="40"/>
  <c r="K139" i="40"/>
  <c r="J139" i="40"/>
  <c r="I139" i="40"/>
  <c r="H139" i="40"/>
  <c r="G139" i="40"/>
  <c r="F136" i="40"/>
  <c r="F135" i="40"/>
  <c r="F134" i="40"/>
  <c r="F133" i="40"/>
  <c r="N132" i="40"/>
  <c r="M132" i="40"/>
  <c r="L132" i="40"/>
  <c r="K132" i="40"/>
  <c r="J132" i="40"/>
  <c r="I132" i="40"/>
  <c r="H132" i="40"/>
  <c r="G132" i="40"/>
  <c r="N131" i="40"/>
  <c r="M131" i="40"/>
  <c r="L131" i="40"/>
  <c r="K131" i="40"/>
  <c r="K194" i="40" s="1"/>
  <c r="K214" i="40" s="1"/>
  <c r="J131" i="40"/>
  <c r="I131" i="40"/>
  <c r="H131" i="40"/>
  <c r="G131" i="40"/>
  <c r="F130" i="40"/>
  <c r="F129" i="40"/>
  <c r="F128" i="40"/>
  <c r="F127" i="40"/>
  <c r="F126" i="40"/>
  <c r="F123" i="40"/>
  <c r="F122" i="40"/>
  <c r="F121" i="40"/>
  <c r="F120" i="40"/>
  <c r="F119" i="40"/>
  <c r="N118" i="40"/>
  <c r="N143" i="40" s="1"/>
  <c r="N160" i="40" s="1"/>
  <c r="M118" i="40"/>
  <c r="M143" i="40" s="1"/>
  <c r="L118" i="40"/>
  <c r="L143" i="40" s="1"/>
  <c r="L160" i="40" s="1"/>
  <c r="L163" i="40" s="1"/>
  <c r="L184" i="40" s="1"/>
  <c r="K118" i="40"/>
  <c r="J118" i="40"/>
  <c r="J143" i="40" s="1"/>
  <c r="J160" i="40" s="1"/>
  <c r="J161" i="40" s="1"/>
  <c r="I118" i="40"/>
  <c r="I143" i="40" s="1"/>
  <c r="H118" i="40"/>
  <c r="H143" i="40" s="1"/>
  <c r="G118" i="40"/>
  <c r="N117" i="40"/>
  <c r="N142" i="40" s="1"/>
  <c r="N158" i="40" s="1"/>
  <c r="M117" i="40"/>
  <c r="M142" i="40" s="1"/>
  <c r="L117" i="40"/>
  <c r="K117" i="40"/>
  <c r="K142" i="40" s="1"/>
  <c r="J117" i="40"/>
  <c r="J142" i="40" s="1"/>
  <c r="J158" i="40" s="1"/>
  <c r="I117" i="40"/>
  <c r="I142" i="40" s="1"/>
  <c r="H117" i="40"/>
  <c r="G117" i="40"/>
  <c r="G333" i="40" s="1"/>
  <c r="N115" i="40"/>
  <c r="M115" i="40"/>
  <c r="L115" i="40"/>
  <c r="K115" i="40"/>
  <c r="J115" i="40"/>
  <c r="I115" i="40"/>
  <c r="H115" i="40"/>
  <c r="G115" i="40"/>
  <c r="N112" i="40"/>
  <c r="M112" i="40"/>
  <c r="L112" i="40"/>
  <c r="K112" i="40"/>
  <c r="J112" i="40"/>
  <c r="I112" i="40"/>
  <c r="H112" i="40"/>
  <c r="G112" i="40"/>
  <c r="N111" i="40"/>
  <c r="L111" i="40"/>
  <c r="J111" i="40"/>
  <c r="I111" i="40"/>
  <c r="H111" i="40"/>
  <c r="N107" i="40"/>
  <c r="M107" i="40"/>
  <c r="L107" i="40"/>
  <c r="K107" i="40"/>
  <c r="J107" i="40"/>
  <c r="I107" i="40"/>
  <c r="H107" i="40"/>
  <c r="G107" i="40"/>
  <c r="N101" i="40"/>
  <c r="M101" i="40"/>
  <c r="L101" i="40"/>
  <c r="K101" i="40"/>
  <c r="J101" i="40"/>
  <c r="I101" i="40"/>
  <c r="H101" i="40"/>
  <c r="G101" i="40"/>
  <c r="F100" i="40"/>
  <c r="F99" i="40"/>
  <c r="F98" i="40"/>
  <c r="N95" i="40"/>
  <c r="M95" i="40"/>
  <c r="L95" i="40"/>
  <c r="K95" i="40"/>
  <c r="J95" i="40"/>
  <c r="I95" i="40"/>
  <c r="H95" i="40"/>
  <c r="G95" i="40"/>
  <c r="N94" i="40"/>
  <c r="M94" i="40"/>
  <c r="L94" i="40"/>
  <c r="J94" i="40"/>
  <c r="I94" i="40"/>
  <c r="H94" i="40"/>
  <c r="G94" i="40"/>
  <c r="F92" i="40"/>
  <c r="C83" i="40"/>
  <c r="F82" i="40"/>
  <c r="F298" i="40" s="1"/>
  <c r="F59" i="40"/>
  <c r="F45" i="40"/>
  <c r="F44" i="40"/>
  <c r="F43" i="40"/>
  <c r="F42" i="40"/>
  <c r="N41" i="40"/>
  <c r="M41" i="40"/>
  <c r="L41" i="40"/>
  <c r="K41" i="40"/>
  <c r="J41" i="40"/>
  <c r="I41" i="40"/>
  <c r="H41" i="40"/>
  <c r="G41" i="40"/>
  <c r="N40" i="40"/>
  <c r="M40" i="40"/>
  <c r="L40" i="40"/>
  <c r="K40" i="40"/>
  <c r="J40" i="40"/>
  <c r="I40" i="40"/>
  <c r="H40" i="40"/>
  <c r="G40" i="40"/>
  <c r="F39" i="40"/>
  <c r="F38" i="40"/>
  <c r="F37" i="40"/>
  <c r="F36" i="40"/>
  <c r="F35" i="40"/>
  <c r="F32" i="40"/>
  <c r="F31" i="40"/>
  <c r="F30" i="40"/>
  <c r="F29" i="40"/>
  <c r="F28" i="40"/>
  <c r="L26" i="40"/>
  <c r="F24" i="40"/>
  <c r="F23" i="40"/>
  <c r="L21" i="40"/>
  <c r="L15" i="40" s="1"/>
  <c r="L13" i="40" s="1"/>
  <c r="N18" i="40"/>
  <c r="M18" i="40"/>
  <c r="L18" i="40"/>
  <c r="K18" i="40"/>
  <c r="J18" i="40"/>
  <c r="H18" i="40"/>
  <c r="N12" i="40"/>
  <c r="N306" i="40" s="1"/>
  <c r="M12" i="40"/>
  <c r="M306" i="40" s="1"/>
  <c r="L12" i="40"/>
  <c r="L306" i="40" s="1"/>
  <c r="K12" i="40"/>
  <c r="K306" i="40" s="1"/>
  <c r="J12" i="40"/>
  <c r="J306" i="40" s="1"/>
  <c r="I12" i="40"/>
  <c r="I306" i="40" s="1"/>
  <c r="H12" i="40"/>
  <c r="H306" i="40" s="1"/>
  <c r="G12" i="40"/>
  <c r="G306" i="40" s="1"/>
  <c r="N11" i="40"/>
  <c r="N305" i="40" s="1"/>
  <c r="M11" i="40"/>
  <c r="M305" i="40" s="1"/>
  <c r="L11" i="40"/>
  <c r="L305" i="40" s="1"/>
  <c r="K11" i="40"/>
  <c r="K305" i="40" s="1"/>
  <c r="J11" i="40"/>
  <c r="J305" i="40" s="1"/>
  <c r="I11" i="40"/>
  <c r="I305" i="40" s="1"/>
  <c r="H11" i="40"/>
  <c r="H305" i="40" s="1"/>
  <c r="G11" i="40"/>
  <c r="G305" i="40" s="1"/>
  <c r="N10" i="40"/>
  <c r="N304" i="40" s="1"/>
  <c r="N363" i="40" s="1"/>
  <c r="N381" i="40" s="1"/>
  <c r="M10" i="40"/>
  <c r="M304" i="40" s="1"/>
  <c r="L10" i="40"/>
  <c r="L304" i="40" s="1"/>
  <c r="K10" i="40"/>
  <c r="K304" i="40" s="1"/>
  <c r="J10" i="40"/>
  <c r="J304" i="40" s="1"/>
  <c r="I10" i="40"/>
  <c r="I304" i="40" s="1"/>
  <c r="H10" i="40"/>
  <c r="H304" i="40" s="1"/>
  <c r="G10" i="40"/>
  <c r="G304" i="40" s="1"/>
  <c r="N9" i="40"/>
  <c r="N27" i="40" s="1"/>
  <c r="M9" i="40"/>
  <c r="M27" i="40" s="1"/>
  <c r="L9" i="40"/>
  <c r="L27" i="40" s="1"/>
  <c r="K9" i="40"/>
  <c r="K26" i="40" s="1"/>
  <c r="J9" i="40"/>
  <c r="J27" i="40" s="1"/>
  <c r="I9" i="40"/>
  <c r="H9" i="40"/>
  <c r="H27" i="40" s="1"/>
  <c r="G9" i="40"/>
  <c r="N8" i="40"/>
  <c r="N21" i="40" s="1"/>
  <c r="N15" i="40" s="1"/>
  <c r="N13" i="40" s="1"/>
  <c r="M8" i="40"/>
  <c r="M300" i="40" s="1"/>
  <c r="L8" i="40"/>
  <c r="K8" i="40"/>
  <c r="J8" i="40"/>
  <c r="J21" i="40" s="1"/>
  <c r="J15" i="40" s="1"/>
  <c r="J13" i="40" s="1"/>
  <c r="I8" i="40"/>
  <c r="I300" i="40" s="1"/>
  <c r="H8" i="40"/>
  <c r="H21" i="40" s="1"/>
  <c r="H15" i="40" s="1"/>
  <c r="H13" i="40" s="1"/>
  <c r="G8" i="40"/>
  <c r="N3" i="40"/>
  <c r="N302" i="40" s="1"/>
  <c r="M3" i="40"/>
  <c r="M302" i="40" s="1"/>
  <c r="M355" i="40" s="1"/>
  <c r="L3" i="40"/>
  <c r="L302" i="40" s="1"/>
  <c r="K3" i="40"/>
  <c r="K302" i="40" s="1"/>
  <c r="J3" i="40"/>
  <c r="J302" i="40" s="1"/>
  <c r="I3" i="40"/>
  <c r="I302" i="40" s="1"/>
  <c r="H3" i="40"/>
  <c r="H302" i="40" s="1"/>
  <c r="G3" i="40"/>
  <c r="G302" i="40" s="1"/>
  <c r="M171" i="40" l="1"/>
  <c r="M192" i="40" s="1"/>
  <c r="M210" i="40" s="1"/>
  <c r="L328" i="37"/>
  <c r="K242" i="40"/>
  <c r="K111" i="40" s="1"/>
  <c r="F147" i="40"/>
  <c r="N165" i="41"/>
  <c r="N186" i="41" s="1"/>
  <c r="N204" i="41" s="1"/>
  <c r="J348" i="37"/>
  <c r="N162" i="40"/>
  <c r="N183" i="40" s="1"/>
  <c r="I204" i="40"/>
  <c r="N166" i="41"/>
  <c r="N187" i="41" s="1"/>
  <c r="N205" i="41" s="1"/>
  <c r="F41" i="40"/>
  <c r="K94" i="40"/>
  <c r="J165" i="40"/>
  <c r="J186" i="40" s="1"/>
  <c r="J204" i="40" s="1"/>
  <c r="I211" i="40"/>
  <c r="N438" i="40"/>
  <c r="H166" i="41"/>
  <c r="H187" i="41" s="1"/>
  <c r="H205" i="41" s="1"/>
  <c r="F315" i="41"/>
  <c r="K204" i="40"/>
  <c r="H310" i="41"/>
  <c r="G438" i="41"/>
  <c r="F428" i="40"/>
  <c r="J166" i="41"/>
  <c r="J187" i="41" s="1"/>
  <c r="J205" i="41" s="1"/>
  <c r="F317" i="40"/>
  <c r="M165" i="40"/>
  <c r="M186" i="40" s="1"/>
  <c r="M204" i="40" s="1"/>
  <c r="H170" i="40"/>
  <c r="H191" i="40" s="1"/>
  <c r="H209" i="40" s="1"/>
  <c r="L211" i="40"/>
  <c r="K166" i="41"/>
  <c r="K187" i="41" s="1"/>
  <c r="K205" i="41" s="1"/>
  <c r="G171" i="41"/>
  <c r="G192" i="41" s="1"/>
  <c r="G210" i="41" s="1"/>
  <c r="J173" i="41"/>
  <c r="N170" i="41"/>
  <c r="N191" i="41" s="1"/>
  <c r="N209" i="41" s="1"/>
  <c r="K310" i="37"/>
  <c r="N165" i="40"/>
  <c r="N186" i="40" s="1"/>
  <c r="N204" i="40" s="1"/>
  <c r="I170" i="40"/>
  <c r="I191" i="40" s="1"/>
  <c r="I209" i="40" s="1"/>
  <c r="M211" i="40"/>
  <c r="I203" i="41"/>
  <c r="F153" i="41"/>
  <c r="L310" i="37"/>
  <c r="K171" i="41"/>
  <c r="K192" i="41" s="1"/>
  <c r="K210" i="41" s="1"/>
  <c r="N171" i="41"/>
  <c r="N192" i="41" s="1"/>
  <c r="N210" i="41" s="1"/>
  <c r="J141" i="40"/>
  <c r="M348" i="41"/>
  <c r="N161" i="40"/>
  <c r="N141" i="40"/>
  <c r="G164" i="40"/>
  <c r="G185" i="40" s="1"/>
  <c r="G203" i="40" s="1"/>
  <c r="K166" i="40"/>
  <c r="K187" i="40" s="1"/>
  <c r="K205" i="40" s="1"/>
  <c r="I173" i="40"/>
  <c r="F351" i="40"/>
  <c r="I169" i="41"/>
  <c r="I190" i="41" s="1"/>
  <c r="I208" i="41" s="1"/>
  <c r="J94" i="37"/>
  <c r="G171" i="40"/>
  <c r="G192" i="40" s="1"/>
  <c r="J173" i="40"/>
  <c r="H310" i="40"/>
  <c r="J141" i="41"/>
  <c r="F147" i="41"/>
  <c r="J169" i="41"/>
  <c r="J190" i="41" s="1"/>
  <c r="J208" i="41" s="1"/>
  <c r="N172" i="41"/>
  <c r="N193" i="41" s="1"/>
  <c r="N211" i="41" s="1"/>
  <c r="K94" i="37"/>
  <c r="I164" i="40"/>
  <c r="I185" i="40" s="1"/>
  <c r="M166" i="40"/>
  <c r="M187" i="40" s="1"/>
  <c r="M205" i="40" s="1"/>
  <c r="F153" i="40"/>
  <c r="L94" i="37"/>
  <c r="F40" i="40"/>
  <c r="I171" i="40"/>
  <c r="I192" i="40" s="1"/>
  <c r="I210" i="40" s="1"/>
  <c r="L173" i="40"/>
  <c r="J310" i="40"/>
  <c r="F323" i="40"/>
  <c r="F460" i="40"/>
  <c r="M21" i="41"/>
  <c r="M15" i="41" s="1"/>
  <c r="M13" i="41" s="1"/>
  <c r="M67" i="41" s="1"/>
  <c r="H165" i="41"/>
  <c r="H186" i="41" s="1"/>
  <c r="H204" i="41" s="1"/>
  <c r="L169" i="41"/>
  <c r="L190" i="41" s="1"/>
  <c r="L208" i="41" s="1"/>
  <c r="N164" i="41"/>
  <c r="N185" i="41" s="1"/>
  <c r="K164" i="40"/>
  <c r="K185" i="40" s="1"/>
  <c r="K203" i="40" s="1"/>
  <c r="F151" i="40"/>
  <c r="J171" i="40"/>
  <c r="J192" i="40" s="1"/>
  <c r="J210" i="40" s="1"/>
  <c r="M173" i="40"/>
  <c r="M141" i="41"/>
  <c r="I211" i="41"/>
  <c r="K171" i="40"/>
  <c r="K192" i="40" s="1"/>
  <c r="N173" i="40"/>
  <c r="F349" i="40"/>
  <c r="J165" i="41"/>
  <c r="J186" i="41" s="1"/>
  <c r="J204" i="41" s="1"/>
  <c r="J106" i="41" s="1"/>
  <c r="J162" i="40"/>
  <c r="J183" i="40" s="1"/>
  <c r="M164" i="40"/>
  <c r="M185" i="40" s="1"/>
  <c r="M26" i="41"/>
  <c r="M333" i="41" s="1"/>
  <c r="M358" i="41" s="1"/>
  <c r="K172" i="41"/>
  <c r="K193" i="41" s="1"/>
  <c r="K211" i="41" s="1"/>
  <c r="F339" i="41"/>
  <c r="S53" i="32"/>
  <c r="S54" i="32" s="1"/>
  <c r="Q44" i="32" s="1"/>
  <c r="Q35" i="32"/>
  <c r="L141" i="37"/>
  <c r="K371" i="37"/>
  <c r="K367" i="37"/>
  <c r="K361" i="37"/>
  <c r="K368" i="37"/>
  <c r="K362" i="37"/>
  <c r="K369" i="37"/>
  <c r="K363" i="37"/>
  <c r="K360" i="37"/>
  <c r="K364" i="37"/>
  <c r="K370" i="37"/>
  <c r="J435" i="37"/>
  <c r="J355" i="37"/>
  <c r="J394" i="37"/>
  <c r="J331" i="37"/>
  <c r="J300" i="37"/>
  <c r="L368" i="37"/>
  <c r="L362" i="37"/>
  <c r="L369" i="37"/>
  <c r="L363" i="37"/>
  <c r="L370" i="37"/>
  <c r="L364" i="37"/>
  <c r="L360" i="37"/>
  <c r="L361" i="37"/>
  <c r="L367" i="37"/>
  <c r="K26" i="37"/>
  <c r="K333" i="37" s="1"/>
  <c r="K141" i="37"/>
  <c r="K142" i="37"/>
  <c r="K394" i="37"/>
  <c r="K331" i="37"/>
  <c r="K355" i="37"/>
  <c r="K435" i="37"/>
  <c r="K300" i="37"/>
  <c r="L143" i="37"/>
  <c r="L331" i="37"/>
  <c r="L435" i="37"/>
  <c r="L355" i="37"/>
  <c r="L394" i="37"/>
  <c r="L499" i="37"/>
  <c r="L491" i="37" s="1"/>
  <c r="L473" i="37"/>
  <c r="J370" i="37"/>
  <c r="J364" i="37"/>
  <c r="J360" i="37"/>
  <c r="J367" i="37"/>
  <c r="J361" i="37"/>
  <c r="J368" i="37"/>
  <c r="J362" i="37"/>
  <c r="J369" i="37"/>
  <c r="J363" i="37"/>
  <c r="J160" i="37"/>
  <c r="J163" i="37" s="1"/>
  <c r="J184" i="37" s="1"/>
  <c r="K160" i="37"/>
  <c r="L482" i="37"/>
  <c r="L333" i="37"/>
  <c r="J347" i="37"/>
  <c r="J194" i="37"/>
  <c r="K348" i="37"/>
  <c r="K410" i="37" s="1"/>
  <c r="K430" i="37" s="1"/>
  <c r="J142" i="37"/>
  <c r="J457" i="37"/>
  <c r="J327" i="37" s="1"/>
  <c r="J310" i="37"/>
  <c r="K347" i="37"/>
  <c r="L348" i="37"/>
  <c r="J438" i="37"/>
  <c r="J328" i="37"/>
  <c r="J333" i="37"/>
  <c r="J358" i="37" s="1"/>
  <c r="K334" i="37"/>
  <c r="K359" i="37" s="1"/>
  <c r="L347" i="37"/>
  <c r="L142" i="37"/>
  <c r="F223" i="40"/>
  <c r="F438" i="40" s="1"/>
  <c r="F112" i="40"/>
  <c r="J163" i="40"/>
  <c r="J184" i="40" s="1"/>
  <c r="N163" i="40"/>
  <c r="N184" i="40" s="1"/>
  <c r="F328" i="40"/>
  <c r="I173" i="41"/>
  <c r="I26" i="41"/>
  <c r="I141" i="41"/>
  <c r="K26" i="41"/>
  <c r="K333" i="41" s="1"/>
  <c r="K358" i="41" s="1"/>
  <c r="F328" i="41"/>
  <c r="I21" i="41"/>
  <c r="F112" i="41"/>
  <c r="L161" i="41"/>
  <c r="L182" i="41" s="1"/>
  <c r="G142" i="41"/>
  <c r="L66" i="41"/>
  <c r="L21" i="41"/>
  <c r="L15" i="41" s="1"/>
  <c r="L13" i="41" s="1"/>
  <c r="L300" i="41"/>
  <c r="L368" i="41"/>
  <c r="L386" i="41" s="1"/>
  <c r="L362" i="41"/>
  <c r="L380" i="41" s="1"/>
  <c r="L371" i="41"/>
  <c r="L389" i="41" s="1"/>
  <c r="L367" i="41"/>
  <c r="L385" i="41" s="1"/>
  <c r="L361" i="41"/>
  <c r="L370" i="41"/>
  <c r="L388" i="41" s="1"/>
  <c r="L364" i="41"/>
  <c r="L382" i="41" s="1"/>
  <c r="L403" i="41" s="1"/>
  <c r="L421" i="41" s="1"/>
  <c r="L360" i="41"/>
  <c r="L369" i="41"/>
  <c r="L387" i="41" s="1"/>
  <c r="L408" i="41" s="1"/>
  <c r="L426" i="41" s="1"/>
  <c r="L363" i="41"/>
  <c r="L381" i="41" s="1"/>
  <c r="H300" i="41"/>
  <c r="H66" i="41"/>
  <c r="H21" i="41"/>
  <c r="H15" i="41" s="1"/>
  <c r="H13" i="41" s="1"/>
  <c r="H368" i="41"/>
  <c r="H386" i="41" s="1"/>
  <c r="H407" i="41" s="1"/>
  <c r="H425" i="41" s="1"/>
  <c r="H362" i="41"/>
  <c r="H380" i="41" s="1"/>
  <c r="H371" i="41"/>
  <c r="H389" i="41" s="1"/>
  <c r="H367" i="41"/>
  <c r="H385" i="41" s="1"/>
  <c r="H406" i="41" s="1"/>
  <c r="H424" i="41" s="1"/>
  <c r="H54" i="41" s="1"/>
  <c r="H361" i="41"/>
  <c r="H370" i="41"/>
  <c r="H388" i="41" s="1"/>
  <c r="H409" i="41" s="1"/>
  <c r="H427" i="41" s="1"/>
  <c r="H57" i="41" s="1"/>
  <c r="H364" i="41"/>
  <c r="H382" i="41" s="1"/>
  <c r="H403" i="41" s="1"/>
  <c r="H421" i="41" s="1"/>
  <c r="H53" i="41" s="1"/>
  <c r="H360" i="41"/>
  <c r="H369" i="41"/>
  <c r="H387" i="41" s="1"/>
  <c r="H408" i="41" s="1"/>
  <c r="H426" i="41" s="1"/>
  <c r="H363" i="41"/>
  <c r="H381" i="41" s="1"/>
  <c r="H169" i="41"/>
  <c r="H190" i="41" s="1"/>
  <c r="H208" i="41" s="1"/>
  <c r="F151" i="41"/>
  <c r="H203" i="41"/>
  <c r="F144" i="41"/>
  <c r="N163" i="41"/>
  <c r="N184" i="41" s="1"/>
  <c r="I204" i="41"/>
  <c r="M204" i="41"/>
  <c r="L27" i="41"/>
  <c r="H333" i="41"/>
  <c r="H142" i="41"/>
  <c r="H141" i="41"/>
  <c r="F117" i="41"/>
  <c r="L333" i="41"/>
  <c r="L358" i="41" s="1"/>
  <c r="L142" i="41"/>
  <c r="L141" i="41"/>
  <c r="I348" i="41"/>
  <c r="I194" i="41"/>
  <c r="I214" i="41" s="1"/>
  <c r="I106" i="41" s="1"/>
  <c r="I158" i="41"/>
  <c r="I159" i="41" s="1"/>
  <c r="M194" i="41"/>
  <c r="M214" i="41" s="1"/>
  <c r="I435" i="41"/>
  <c r="I394" i="41"/>
  <c r="I355" i="41"/>
  <c r="I331" i="41"/>
  <c r="M435" i="41"/>
  <c r="M394" i="41"/>
  <c r="M355" i="41"/>
  <c r="M331" i="41"/>
  <c r="G388" i="41"/>
  <c r="G409" i="41" s="1"/>
  <c r="G172" i="41"/>
  <c r="G193" i="41" s="1"/>
  <c r="F154" i="41"/>
  <c r="N203" i="41"/>
  <c r="F173" i="41"/>
  <c r="F107" i="41"/>
  <c r="I334" i="41"/>
  <c r="I359" i="41" s="1"/>
  <c r="I143" i="41"/>
  <c r="J347" i="41"/>
  <c r="J194" i="41"/>
  <c r="J214" i="41" s="1"/>
  <c r="G164" i="41"/>
  <c r="G185" i="41" s="1"/>
  <c r="F146" i="41"/>
  <c r="M173" i="41"/>
  <c r="G394" i="41"/>
  <c r="G435" i="41"/>
  <c r="G331" i="41"/>
  <c r="G355" i="41"/>
  <c r="K394" i="41"/>
  <c r="K331" i="41"/>
  <c r="K355" i="41"/>
  <c r="K435" i="41"/>
  <c r="N27" i="41"/>
  <c r="F101" i="41"/>
  <c r="J333" i="41"/>
  <c r="J358" i="41" s="1"/>
  <c r="J142" i="41"/>
  <c r="N333" i="41"/>
  <c r="N358" i="41" s="1"/>
  <c r="N142" i="41"/>
  <c r="N182" i="41"/>
  <c r="G348" i="41"/>
  <c r="F132" i="41"/>
  <c r="N141" i="41"/>
  <c r="M158" i="41"/>
  <c r="M162" i="41" s="1"/>
  <c r="M183" i="41" s="1"/>
  <c r="G165" i="41"/>
  <c r="G186" i="41" s="1"/>
  <c r="K165" i="41"/>
  <c r="K186" i="41" s="1"/>
  <c r="G166" i="41"/>
  <c r="G187" i="41" s="1"/>
  <c r="F148" i="41"/>
  <c r="I171" i="41"/>
  <c r="I192" i="41" s="1"/>
  <c r="I210" i="41" s="1"/>
  <c r="M171" i="41"/>
  <c r="M192" i="41" s="1"/>
  <c r="M210" i="41" s="1"/>
  <c r="H173" i="41"/>
  <c r="L173" i="41"/>
  <c r="L164" i="41"/>
  <c r="L185" i="41" s="1"/>
  <c r="L166" i="41"/>
  <c r="L187" i="41" s="1"/>
  <c r="L205" i="41" s="1"/>
  <c r="L170" i="41"/>
  <c r="L191" i="41" s="1"/>
  <c r="L209" i="41" s="1"/>
  <c r="H171" i="41"/>
  <c r="H192" i="41" s="1"/>
  <c r="H210" i="41" s="1"/>
  <c r="L172" i="41"/>
  <c r="L193" i="41" s="1"/>
  <c r="L211" i="41" s="1"/>
  <c r="G173" i="41"/>
  <c r="M334" i="41"/>
  <c r="M359" i="41" s="1"/>
  <c r="M143" i="41"/>
  <c r="N347" i="41"/>
  <c r="N410" i="41" s="1"/>
  <c r="N430" i="41" s="1"/>
  <c r="N194" i="41"/>
  <c r="N214" i="41" s="1"/>
  <c r="K158" i="41"/>
  <c r="K162" i="41" s="1"/>
  <c r="K183" i="41" s="1"/>
  <c r="J300" i="41"/>
  <c r="N300" i="41"/>
  <c r="N66" i="41"/>
  <c r="N21" i="41"/>
  <c r="N15" i="41" s="1"/>
  <c r="N13" i="41" s="1"/>
  <c r="J370" i="41"/>
  <c r="J388" i="41" s="1"/>
  <c r="J364" i="41"/>
  <c r="J382" i="41" s="1"/>
  <c r="J360" i="41"/>
  <c r="J369" i="41"/>
  <c r="J387" i="41" s="1"/>
  <c r="J408" i="41" s="1"/>
  <c r="J426" i="41" s="1"/>
  <c r="J363" i="41"/>
  <c r="J381" i="41" s="1"/>
  <c r="J402" i="41" s="1"/>
  <c r="J420" i="41" s="1"/>
  <c r="J52" i="41" s="1"/>
  <c r="J368" i="41"/>
  <c r="J386" i="41" s="1"/>
  <c r="J407" i="41" s="1"/>
  <c r="J425" i="41" s="1"/>
  <c r="J362" i="41"/>
  <c r="J380" i="41" s="1"/>
  <c r="J401" i="41" s="1"/>
  <c r="J371" i="41"/>
  <c r="J389" i="41" s="1"/>
  <c r="J367" i="41"/>
  <c r="J385" i="41" s="1"/>
  <c r="J406" i="41" s="1"/>
  <c r="J424" i="41" s="1"/>
  <c r="J54" i="41" s="1"/>
  <c r="J361" i="41"/>
  <c r="N370" i="41"/>
  <c r="N388" i="41" s="1"/>
  <c r="N364" i="41"/>
  <c r="N382" i="41" s="1"/>
  <c r="N403" i="41" s="1"/>
  <c r="N421" i="41" s="1"/>
  <c r="N53" i="41" s="1"/>
  <c r="N360" i="41"/>
  <c r="N369" i="41"/>
  <c r="N387" i="41" s="1"/>
  <c r="N408" i="41" s="1"/>
  <c r="N426" i="41" s="1"/>
  <c r="N363" i="41"/>
  <c r="N381" i="41" s="1"/>
  <c r="N368" i="41"/>
  <c r="N386" i="41" s="1"/>
  <c r="N407" i="41" s="1"/>
  <c r="N425" i="41" s="1"/>
  <c r="N362" i="41"/>
  <c r="N380" i="41" s="1"/>
  <c r="N401" i="41" s="1"/>
  <c r="N367" i="41"/>
  <c r="N385" i="41" s="1"/>
  <c r="N406" i="41" s="1"/>
  <c r="N424" i="41" s="1"/>
  <c r="N54" i="41" s="1"/>
  <c r="N361" i="41"/>
  <c r="N371" i="41"/>
  <c r="N389" i="41" s="1"/>
  <c r="G141" i="41"/>
  <c r="G143" i="41"/>
  <c r="F118" i="41"/>
  <c r="K141" i="41"/>
  <c r="K334" i="41"/>
  <c r="K359" i="41" s="1"/>
  <c r="K143" i="41"/>
  <c r="H347" i="41"/>
  <c r="H194" i="41"/>
  <c r="H214" i="41" s="1"/>
  <c r="L347" i="41"/>
  <c r="L194" i="41"/>
  <c r="L214" i="41" s="1"/>
  <c r="M106" i="41"/>
  <c r="G169" i="41"/>
  <c r="G190" i="41" s="1"/>
  <c r="K169" i="41"/>
  <c r="K190" i="41" s="1"/>
  <c r="K208" i="41" s="1"/>
  <c r="G170" i="41"/>
  <c r="G191" i="41" s="1"/>
  <c r="F152" i="41"/>
  <c r="K194" i="41"/>
  <c r="K214" i="41" s="1"/>
  <c r="F232" i="41"/>
  <c r="F242" i="41" s="1"/>
  <c r="M371" i="41"/>
  <c r="M389" i="41" s="1"/>
  <c r="M367" i="41"/>
  <c r="M385" i="41" s="1"/>
  <c r="M406" i="41" s="1"/>
  <c r="M424" i="41" s="1"/>
  <c r="M54" i="41" s="1"/>
  <c r="M361" i="41"/>
  <c r="M370" i="41"/>
  <c r="M388" i="41" s="1"/>
  <c r="M364" i="41"/>
  <c r="M382" i="41" s="1"/>
  <c r="M360" i="41"/>
  <c r="M369" i="41"/>
  <c r="M387" i="41" s="1"/>
  <c r="M408" i="41" s="1"/>
  <c r="M426" i="41" s="1"/>
  <c r="M363" i="41"/>
  <c r="M381" i="41" s="1"/>
  <c r="M402" i="41" s="1"/>
  <c r="M420" i="41" s="1"/>
  <c r="M52" i="41" s="1"/>
  <c r="M368" i="41"/>
  <c r="M386" i="41" s="1"/>
  <c r="M407" i="41" s="1"/>
  <c r="M425" i="41" s="1"/>
  <c r="H435" i="41"/>
  <c r="H331" i="41"/>
  <c r="H394" i="41"/>
  <c r="H355" i="41"/>
  <c r="L435" i="41"/>
  <c r="L331" i="41"/>
  <c r="L355" i="41"/>
  <c r="L394" i="41"/>
  <c r="I482" i="41"/>
  <c r="I473" i="41"/>
  <c r="I499" i="41"/>
  <c r="I491" i="41" s="1"/>
  <c r="M499" i="41"/>
  <c r="M491" i="41" s="1"/>
  <c r="M482" i="41"/>
  <c r="M473" i="41"/>
  <c r="I371" i="41"/>
  <c r="I389" i="41" s="1"/>
  <c r="I367" i="41"/>
  <c r="I385" i="41" s="1"/>
  <c r="I361" i="41"/>
  <c r="I370" i="41"/>
  <c r="I388" i="41" s="1"/>
  <c r="I409" i="41" s="1"/>
  <c r="I427" i="41" s="1"/>
  <c r="I57" i="41" s="1"/>
  <c r="I364" i="41"/>
  <c r="I382" i="41" s="1"/>
  <c r="I403" i="41" s="1"/>
  <c r="I421" i="41" s="1"/>
  <c r="I53" i="41" s="1"/>
  <c r="I360" i="41"/>
  <c r="I369" i="41"/>
  <c r="I387" i="41" s="1"/>
  <c r="I408" i="41" s="1"/>
  <c r="I426" i="41" s="1"/>
  <c r="I363" i="41"/>
  <c r="I381" i="41" s="1"/>
  <c r="I402" i="41" s="1"/>
  <c r="I420" i="41" s="1"/>
  <c r="I52" i="41" s="1"/>
  <c r="I362" i="41"/>
  <c r="I380" i="41" s="1"/>
  <c r="N334" i="41"/>
  <c r="N359" i="41" s="1"/>
  <c r="G347" i="41"/>
  <c r="K347" i="41"/>
  <c r="K410" i="41" s="1"/>
  <c r="K430" i="41" s="1"/>
  <c r="J348" i="41"/>
  <c r="N348" i="41"/>
  <c r="F223" i="41"/>
  <c r="F438" i="41" s="1"/>
  <c r="H242" i="41"/>
  <c r="H111" i="41" s="1"/>
  <c r="F336" i="41"/>
  <c r="F343" i="41"/>
  <c r="L407" i="41"/>
  <c r="L425" i="41" s="1"/>
  <c r="N357" i="41"/>
  <c r="M362" i="41"/>
  <c r="M380" i="41" s="1"/>
  <c r="M401" i="41" s="1"/>
  <c r="J435" i="41"/>
  <c r="J394" i="41"/>
  <c r="J355" i="41"/>
  <c r="J331" i="41"/>
  <c r="N435" i="41"/>
  <c r="N355" i="41"/>
  <c r="N394" i="41"/>
  <c r="N331" i="41"/>
  <c r="G499" i="41"/>
  <c r="G491" i="41" s="1"/>
  <c r="G482" i="41"/>
  <c r="G473" i="41"/>
  <c r="K499" i="41"/>
  <c r="K491" i="41" s="1"/>
  <c r="K482" i="41"/>
  <c r="K473" i="41"/>
  <c r="G369" i="41"/>
  <c r="G363" i="41"/>
  <c r="G368" i="41"/>
  <c r="G362" i="41"/>
  <c r="G358" i="41"/>
  <c r="G371" i="41"/>
  <c r="G367" i="41"/>
  <c r="G361" i="41"/>
  <c r="G364" i="41"/>
  <c r="G360" i="41"/>
  <c r="K369" i="41"/>
  <c r="K387" i="41" s="1"/>
  <c r="K408" i="41" s="1"/>
  <c r="K426" i="41" s="1"/>
  <c r="K363" i="41"/>
  <c r="K381" i="41" s="1"/>
  <c r="K402" i="41" s="1"/>
  <c r="K420" i="41" s="1"/>
  <c r="K368" i="41"/>
  <c r="K386" i="41" s="1"/>
  <c r="K362" i="41"/>
  <c r="K380" i="41" s="1"/>
  <c r="K371" i="41"/>
  <c r="K389" i="41" s="1"/>
  <c r="K367" i="41"/>
  <c r="K385" i="41" s="1"/>
  <c r="K361" i="41"/>
  <c r="K360" i="41"/>
  <c r="K370" i="41"/>
  <c r="K388" i="41" s="1"/>
  <c r="I333" i="41"/>
  <c r="H334" i="41"/>
  <c r="H359" i="41" s="1"/>
  <c r="I347" i="41"/>
  <c r="I410" i="41" s="1"/>
  <c r="I430" i="41" s="1"/>
  <c r="M347" i="41"/>
  <c r="M410" i="41" s="1"/>
  <c r="M430" i="41" s="1"/>
  <c r="M58" i="41" s="1"/>
  <c r="H348" i="41"/>
  <c r="H410" i="41" s="1"/>
  <c r="H430" i="41" s="1"/>
  <c r="H58" i="41" s="1"/>
  <c r="L348" i="41"/>
  <c r="L410" i="41" s="1"/>
  <c r="L430" i="41" s="1"/>
  <c r="L58" i="41" s="1"/>
  <c r="K364" i="41"/>
  <c r="K382" i="41" s="1"/>
  <c r="K403" i="41" s="1"/>
  <c r="K421" i="41" s="1"/>
  <c r="K53" i="41" s="1"/>
  <c r="F323" i="41"/>
  <c r="I406" i="41"/>
  <c r="I424" i="41" s="1"/>
  <c r="I54" i="41" s="1"/>
  <c r="L409" i="41"/>
  <c r="L427" i="41" s="1"/>
  <c r="L57" i="41" s="1"/>
  <c r="F350" i="41"/>
  <c r="G447" i="41"/>
  <c r="F352" i="41"/>
  <c r="F338" i="41"/>
  <c r="J403" i="41"/>
  <c r="J421" i="41" s="1"/>
  <c r="J53" i="41" s="1"/>
  <c r="H317" i="41"/>
  <c r="F317" i="41" s="1"/>
  <c r="F351" i="41"/>
  <c r="L457" i="41"/>
  <c r="L327" i="41" s="1"/>
  <c r="L310" i="41"/>
  <c r="H401" i="41"/>
  <c r="F337" i="41"/>
  <c r="L401" i="41"/>
  <c r="K406" i="41"/>
  <c r="K424" i="41" s="1"/>
  <c r="K54" i="41" s="1"/>
  <c r="F344" i="41"/>
  <c r="J409" i="41"/>
  <c r="J427" i="41" s="1"/>
  <c r="J57" i="41" s="1"/>
  <c r="N409" i="41"/>
  <c r="N427" i="41" s="1"/>
  <c r="N57" i="41" s="1"/>
  <c r="I401" i="41"/>
  <c r="H402" i="41"/>
  <c r="H420" i="41" s="1"/>
  <c r="H52" i="41" s="1"/>
  <c r="L402" i="41"/>
  <c r="L420" i="41" s="1"/>
  <c r="L52" i="41" s="1"/>
  <c r="F342" i="41"/>
  <c r="I407" i="41"/>
  <c r="I425" i="41" s="1"/>
  <c r="K409" i="41"/>
  <c r="K427" i="41" s="1"/>
  <c r="F346" i="41"/>
  <c r="F428" i="41"/>
  <c r="H438" i="41"/>
  <c r="L438" i="41"/>
  <c r="K401" i="41"/>
  <c r="N402" i="41"/>
  <c r="N420" i="41" s="1"/>
  <c r="N52" i="41" s="1"/>
  <c r="M403" i="41"/>
  <c r="M421" i="41" s="1"/>
  <c r="M53" i="41" s="1"/>
  <c r="L406" i="41"/>
  <c r="L424" i="41" s="1"/>
  <c r="L54" i="41" s="1"/>
  <c r="K407" i="41"/>
  <c r="K425" i="41" s="1"/>
  <c r="M409" i="41"/>
  <c r="M427" i="41" s="1"/>
  <c r="M57" i="41" s="1"/>
  <c r="F460" i="41"/>
  <c r="J77" i="40"/>
  <c r="J80" i="40" s="1"/>
  <c r="J4" i="40" s="1"/>
  <c r="J63" i="40"/>
  <c r="H77" i="40"/>
  <c r="H80" i="40" s="1"/>
  <c r="H4" i="40" s="1"/>
  <c r="H63" i="40"/>
  <c r="L77" i="40"/>
  <c r="L80" i="40" s="1"/>
  <c r="L4" i="40" s="1"/>
  <c r="L63" i="40"/>
  <c r="N77" i="40"/>
  <c r="N80" i="40" s="1"/>
  <c r="N4" i="40" s="1"/>
  <c r="N63" i="40"/>
  <c r="N203" i="40"/>
  <c r="N435" i="40"/>
  <c r="N394" i="40"/>
  <c r="N331" i="40"/>
  <c r="N355" i="40"/>
  <c r="G300" i="40"/>
  <c r="G371" i="40"/>
  <c r="G367" i="40"/>
  <c r="G361" i="40"/>
  <c r="G370" i="40"/>
  <c r="G364" i="40"/>
  <c r="G360" i="40"/>
  <c r="G369" i="40"/>
  <c r="G363" i="40"/>
  <c r="G358" i="40"/>
  <c r="G368" i="40"/>
  <c r="G362" i="40"/>
  <c r="K27" i="40"/>
  <c r="F107" i="40"/>
  <c r="M160" i="40"/>
  <c r="M161" i="40" s="1"/>
  <c r="M182" i="40" s="1"/>
  <c r="G348" i="40"/>
  <c r="F132" i="40"/>
  <c r="K348" i="40"/>
  <c r="K410" i="40" s="1"/>
  <c r="K430" i="40" s="1"/>
  <c r="K58" i="40" s="1"/>
  <c r="M158" i="40"/>
  <c r="M162" i="40" s="1"/>
  <c r="M183" i="40" s="1"/>
  <c r="G204" i="40"/>
  <c r="F204" i="40" s="1"/>
  <c r="F186" i="40"/>
  <c r="F148" i="40"/>
  <c r="G166" i="40"/>
  <c r="G187" i="40" s="1"/>
  <c r="G435" i="40"/>
  <c r="G394" i="40"/>
  <c r="G355" i="40"/>
  <c r="G331" i="40"/>
  <c r="K435" i="40"/>
  <c r="K394" i="40"/>
  <c r="K355" i="40"/>
  <c r="K331" i="40"/>
  <c r="H300" i="40"/>
  <c r="H66" i="40"/>
  <c r="H67" i="40" s="1"/>
  <c r="L300" i="40"/>
  <c r="L66" i="40"/>
  <c r="L67" i="40" s="1"/>
  <c r="H370" i="40"/>
  <c r="H388" i="40" s="1"/>
  <c r="H364" i="40"/>
  <c r="H382" i="40" s="1"/>
  <c r="H403" i="40" s="1"/>
  <c r="H421" i="40" s="1"/>
  <c r="H360" i="40"/>
  <c r="H369" i="40"/>
  <c r="H387" i="40" s="1"/>
  <c r="H408" i="40" s="1"/>
  <c r="H426" i="40" s="1"/>
  <c r="H363" i="40"/>
  <c r="H381" i="40" s="1"/>
  <c r="H402" i="40" s="1"/>
  <c r="H420" i="40" s="1"/>
  <c r="H52" i="40" s="1"/>
  <c r="H368" i="40"/>
  <c r="H386" i="40" s="1"/>
  <c r="H407" i="40" s="1"/>
  <c r="H425" i="40" s="1"/>
  <c r="H362" i="40"/>
  <c r="H380" i="40" s="1"/>
  <c r="H367" i="40"/>
  <c r="H385" i="40" s="1"/>
  <c r="H361" i="40"/>
  <c r="H371" i="40"/>
  <c r="H389" i="40" s="1"/>
  <c r="L370" i="40"/>
  <c r="L388" i="40" s="1"/>
  <c r="L364" i="40"/>
  <c r="L382" i="40" s="1"/>
  <c r="L403" i="40" s="1"/>
  <c r="L421" i="40" s="1"/>
  <c r="L53" i="40" s="1"/>
  <c r="L360" i="40"/>
  <c r="L369" i="40"/>
  <c r="L387" i="40" s="1"/>
  <c r="L363" i="40"/>
  <c r="L381" i="40" s="1"/>
  <c r="L368" i="40"/>
  <c r="L386" i="40" s="1"/>
  <c r="L362" i="40"/>
  <c r="L380" i="40" s="1"/>
  <c r="L401" i="40" s="1"/>
  <c r="L361" i="40"/>
  <c r="L371" i="40"/>
  <c r="L389" i="40" s="1"/>
  <c r="L367" i="40"/>
  <c r="L385" i="40" s="1"/>
  <c r="K21" i="40"/>
  <c r="K15" i="40" s="1"/>
  <c r="K13" i="40" s="1"/>
  <c r="I26" i="40"/>
  <c r="I333" i="40" s="1"/>
  <c r="I358" i="40" s="1"/>
  <c r="M26" i="40"/>
  <c r="M333" i="40" s="1"/>
  <c r="F101" i="40"/>
  <c r="J159" i="40"/>
  <c r="N159" i="40"/>
  <c r="H347" i="40"/>
  <c r="H194" i="40"/>
  <c r="H214" i="40" s="1"/>
  <c r="F131" i="40"/>
  <c r="L347" i="40"/>
  <c r="L194" i="40"/>
  <c r="L214" i="40" s="1"/>
  <c r="H164" i="40"/>
  <c r="H185" i="40" s="1"/>
  <c r="L164" i="40"/>
  <c r="L185" i="40" s="1"/>
  <c r="H166" i="40"/>
  <c r="H187" i="40" s="1"/>
  <c r="H205" i="40" s="1"/>
  <c r="L166" i="40"/>
  <c r="L187" i="40" s="1"/>
  <c r="L205" i="40" s="1"/>
  <c r="F190" i="40"/>
  <c r="G208" i="40"/>
  <c r="F208" i="40" s="1"/>
  <c r="G170" i="40"/>
  <c r="G191" i="40" s="1"/>
  <c r="K170" i="40"/>
  <c r="K191" i="40" s="1"/>
  <c r="G210" i="40"/>
  <c r="K210" i="40"/>
  <c r="F154" i="40"/>
  <c r="G172" i="40"/>
  <c r="G193" i="40" s="1"/>
  <c r="K172" i="40"/>
  <c r="K193" i="40" s="1"/>
  <c r="K211" i="40" s="1"/>
  <c r="F173" i="40"/>
  <c r="H435" i="40"/>
  <c r="H394" i="40"/>
  <c r="H355" i="40"/>
  <c r="H331" i="40"/>
  <c r="L435" i="40"/>
  <c r="L394" i="40"/>
  <c r="L355" i="40"/>
  <c r="L331" i="40"/>
  <c r="I499" i="40"/>
  <c r="I491" i="40" s="1"/>
  <c r="I482" i="40"/>
  <c r="I473" i="40"/>
  <c r="M499" i="40"/>
  <c r="M491" i="40" s="1"/>
  <c r="M482" i="40"/>
  <c r="M473" i="40"/>
  <c r="I369" i="40"/>
  <c r="I387" i="40" s="1"/>
  <c r="I408" i="40" s="1"/>
  <c r="I426" i="40" s="1"/>
  <c r="I363" i="40"/>
  <c r="I381" i="40" s="1"/>
  <c r="I402" i="40" s="1"/>
  <c r="I420" i="40" s="1"/>
  <c r="I52" i="40" s="1"/>
  <c r="I368" i="40"/>
  <c r="I386" i="40" s="1"/>
  <c r="I407" i="40" s="1"/>
  <c r="I425" i="40" s="1"/>
  <c r="I362" i="40"/>
  <c r="I380" i="40" s="1"/>
  <c r="I371" i="40"/>
  <c r="I389" i="40" s="1"/>
  <c r="I367" i="40"/>
  <c r="I385" i="40" s="1"/>
  <c r="I361" i="40"/>
  <c r="I370" i="40"/>
  <c r="I388" i="40" s="1"/>
  <c r="I364" i="40"/>
  <c r="I382" i="40" s="1"/>
  <c r="I403" i="40" s="1"/>
  <c r="I421" i="40" s="1"/>
  <c r="I53" i="40" s="1"/>
  <c r="I360" i="40"/>
  <c r="M369" i="40"/>
  <c r="M387" i="40" s="1"/>
  <c r="M408" i="40" s="1"/>
  <c r="M426" i="40" s="1"/>
  <c r="M363" i="40"/>
  <c r="M381" i="40" s="1"/>
  <c r="M359" i="40"/>
  <c r="M368" i="40"/>
  <c r="M386" i="40" s="1"/>
  <c r="M362" i="40"/>
  <c r="M380" i="40" s="1"/>
  <c r="M371" i="40"/>
  <c r="M389" i="40" s="1"/>
  <c r="M367" i="40"/>
  <c r="M385" i="40" s="1"/>
  <c r="M361" i="40"/>
  <c r="M370" i="40"/>
  <c r="M388" i="40" s="1"/>
  <c r="M409" i="40" s="1"/>
  <c r="M427" i="40" s="1"/>
  <c r="M57" i="40" s="1"/>
  <c r="M364" i="40"/>
  <c r="M382" i="40" s="1"/>
  <c r="M360" i="40"/>
  <c r="J26" i="40"/>
  <c r="N26" i="40"/>
  <c r="N333" i="40" s="1"/>
  <c r="M66" i="40"/>
  <c r="K158" i="40"/>
  <c r="K159" i="40" s="1"/>
  <c r="G143" i="40"/>
  <c r="F118" i="40"/>
  <c r="K334" i="40"/>
  <c r="K359" i="40" s="1"/>
  <c r="K143" i="40"/>
  <c r="I348" i="40"/>
  <c r="L161" i="40"/>
  <c r="L182" i="40" s="1"/>
  <c r="I203" i="40"/>
  <c r="M203" i="40"/>
  <c r="M106" i="40" s="1"/>
  <c r="G194" i="40"/>
  <c r="J435" i="40"/>
  <c r="J331" i="40"/>
  <c r="J394" i="40"/>
  <c r="J355" i="40"/>
  <c r="K300" i="40"/>
  <c r="K66" i="40"/>
  <c r="K371" i="40"/>
  <c r="K389" i="40" s="1"/>
  <c r="K367" i="40"/>
  <c r="K385" i="40" s="1"/>
  <c r="K361" i="40"/>
  <c r="K370" i="40"/>
  <c r="K388" i="40" s="1"/>
  <c r="K409" i="40" s="1"/>
  <c r="K427" i="40" s="1"/>
  <c r="K57" i="40" s="1"/>
  <c r="K364" i="40"/>
  <c r="K382" i="40" s="1"/>
  <c r="K403" i="40" s="1"/>
  <c r="K421" i="40" s="1"/>
  <c r="K53" i="40" s="1"/>
  <c r="K360" i="40"/>
  <c r="K369" i="40"/>
  <c r="K387" i="40" s="1"/>
  <c r="K408" i="40" s="1"/>
  <c r="K426" i="40" s="1"/>
  <c r="K363" i="40"/>
  <c r="K381" i="40" s="1"/>
  <c r="K402" i="40" s="1"/>
  <c r="K420" i="40" s="1"/>
  <c r="K52" i="40" s="1"/>
  <c r="K368" i="40"/>
  <c r="K386" i="40" s="1"/>
  <c r="K362" i="40"/>
  <c r="K380" i="40" s="1"/>
  <c r="K401" i="40" s="1"/>
  <c r="I435" i="40"/>
  <c r="I394" i="40"/>
  <c r="I331" i="40"/>
  <c r="I355" i="40"/>
  <c r="M394" i="40"/>
  <c r="M331" i="40"/>
  <c r="M435" i="40"/>
  <c r="J300" i="40"/>
  <c r="J66" i="40"/>
  <c r="J67" i="40" s="1"/>
  <c r="N300" i="40"/>
  <c r="N66" i="40"/>
  <c r="N67" i="40" s="1"/>
  <c r="J368" i="40"/>
  <c r="J386" i="40" s="1"/>
  <c r="J407" i="40" s="1"/>
  <c r="J425" i="40" s="1"/>
  <c r="J362" i="40"/>
  <c r="J380" i="40" s="1"/>
  <c r="J401" i="40" s="1"/>
  <c r="J371" i="40"/>
  <c r="J389" i="40" s="1"/>
  <c r="J367" i="40"/>
  <c r="J385" i="40" s="1"/>
  <c r="J406" i="40" s="1"/>
  <c r="J424" i="40" s="1"/>
  <c r="J54" i="40" s="1"/>
  <c r="J361" i="40"/>
  <c r="J370" i="40"/>
  <c r="J388" i="40" s="1"/>
  <c r="J409" i="40" s="1"/>
  <c r="J427" i="40" s="1"/>
  <c r="J57" i="40" s="1"/>
  <c r="J364" i="40"/>
  <c r="J382" i="40" s="1"/>
  <c r="J403" i="40" s="1"/>
  <c r="J421" i="40" s="1"/>
  <c r="J53" i="40" s="1"/>
  <c r="J360" i="40"/>
  <c r="J363" i="40"/>
  <c r="J381" i="40" s="1"/>
  <c r="J402" i="40" s="1"/>
  <c r="J420" i="40" s="1"/>
  <c r="J52" i="40" s="1"/>
  <c r="J369" i="40"/>
  <c r="J387" i="40" s="1"/>
  <c r="N368" i="40"/>
  <c r="N386" i="40" s="1"/>
  <c r="N407" i="40" s="1"/>
  <c r="N425" i="40" s="1"/>
  <c r="N362" i="40"/>
  <c r="N380" i="40" s="1"/>
  <c r="N371" i="40"/>
  <c r="N389" i="40" s="1"/>
  <c r="N367" i="40"/>
  <c r="N385" i="40" s="1"/>
  <c r="N361" i="40"/>
  <c r="N370" i="40"/>
  <c r="N388" i="40" s="1"/>
  <c r="N364" i="40"/>
  <c r="N382" i="40" s="1"/>
  <c r="N403" i="40" s="1"/>
  <c r="N421" i="40" s="1"/>
  <c r="N53" i="40" s="1"/>
  <c r="N360" i="40"/>
  <c r="N369" i="40"/>
  <c r="N387" i="40" s="1"/>
  <c r="M21" i="40"/>
  <c r="M15" i="40" s="1"/>
  <c r="M13" i="40" s="1"/>
  <c r="H333" i="40"/>
  <c r="H358" i="40" s="1"/>
  <c r="H142" i="40"/>
  <c r="H141" i="40"/>
  <c r="F117" i="40"/>
  <c r="L333" i="40"/>
  <c r="L142" i="40"/>
  <c r="L141" i="40"/>
  <c r="I158" i="40"/>
  <c r="I162" i="40" s="1"/>
  <c r="I183" i="40" s="1"/>
  <c r="F144" i="40"/>
  <c r="J203" i="40"/>
  <c r="H171" i="40"/>
  <c r="H192" i="40" s="1"/>
  <c r="H210" i="40" s="1"/>
  <c r="H334" i="40"/>
  <c r="H359" i="40" s="1"/>
  <c r="L334" i="40"/>
  <c r="L359" i="40" s="1"/>
  <c r="I347" i="40"/>
  <c r="I194" i="40"/>
  <c r="I214" i="40" s="1"/>
  <c r="M347" i="40"/>
  <c r="M194" i="40"/>
  <c r="M214" i="40" s="1"/>
  <c r="H348" i="40"/>
  <c r="L348" i="40"/>
  <c r="G141" i="40"/>
  <c r="K141" i="40"/>
  <c r="F146" i="40"/>
  <c r="F152" i="40"/>
  <c r="F342" i="40"/>
  <c r="K406" i="40"/>
  <c r="K424" i="40" s="1"/>
  <c r="K54" i="40" s="1"/>
  <c r="N409" i="40"/>
  <c r="N427" i="40" s="1"/>
  <c r="N57" i="40" s="1"/>
  <c r="J333" i="40"/>
  <c r="J357" i="40" s="1"/>
  <c r="J182" i="40"/>
  <c r="N182" i="40"/>
  <c r="M334" i="40"/>
  <c r="J194" i="40"/>
  <c r="J214" i="40" s="1"/>
  <c r="J347" i="40"/>
  <c r="N347" i="40"/>
  <c r="N194" i="40"/>
  <c r="N214" i="40" s="1"/>
  <c r="M348" i="40"/>
  <c r="M410" i="40" s="1"/>
  <c r="M430" i="40" s="1"/>
  <c r="M58" i="40" s="1"/>
  <c r="G142" i="40"/>
  <c r="K333" i="40"/>
  <c r="K357" i="40" s="1"/>
  <c r="J334" i="40"/>
  <c r="J359" i="40" s="1"/>
  <c r="N334" i="40"/>
  <c r="N359" i="40" s="1"/>
  <c r="G347" i="40"/>
  <c r="F347" i="40" s="1"/>
  <c r="K347" i="40"/>
  <c r="J348" i="40"/>
  <c r="J410" i="40" s="1"/>
  <c r="J430" i="40" s="1"/>
  <c r="N348" i="40"/>
  <c r="I141" i="40"/>
  <c r="M141" i="40"/>
  <c r="F242" i="40"/>
  <c r="G242" i="40" s="1"/>
  <c r="G111" i="40" s="1"/>
  <c r="F111" i="40" s="1"/>
  <c r="H401" i="40"/>
  <c r="F339" i="40"/>
  <c r="F346" i="40"/>
  <c r="F315" i="40"/>
  <c r="M402" i="40"/>
  <c r="M420" i="40" s="1"/>
  <c r="M52" i="40" s="1"/>
  <c r="I406" i="40"/>
  <c r="I424" i="40" s="1"/>
  <c r="I54" i="40" s="1"/>
  <c r="M406" i="40"/>
  <c r="M424" i="40" s="1"/>
  <c r="M54" i="40" s="1"/>
  <c r="L407" i="40"/>
  <c r="L425" i="40" s="1"/>
  <c r="H409" i="40"/>
  <c r="H427" i="40" s="1"/>
  <c r="H57" i="40" s="1"/>
  <c r="F345" i="40"/>
  <c r="L409" i="40"/>
  <c r="L427" i="40" s="1"/>
  <c r="L57" i="40" s="1"/>
  <c r="F350" i="40"/>
  <c r="G311" i="40"/>
  <c r="F335" i="40"/>
  <c r="F336" i="40"/>
  <c r="N401" i="40"/>
  <c r="F338" i="40"/>
  <c r="N402" i="40"/>
  <c r="N420" i="40" s="1"/>
  <c r="N52" i="40" s="1"/>
  <c r="M403" i="40"/>
  <c r="M421" i="40" s="1"/>
  <c r="M53" i="40" s="1"/>
  <c r="H406" i="40"/>
  <c r="H424" i="40" s="1"/>
  <c r="H54" i="40" s="1"/>
  <c r="L406" i="40"/>
  <c r="L424" i="40" s="1"/>
  <c r="L54" i="40" s="1"/>
  <c r="K407" i="40"/>
  <c r="K425" i="40" s="1"/>
  <c r="F344" i="40"/>
  <c r="J408" i="40"/>
  <c r="J426" i="40" s="1"/>
  <c r="N408" i="40"/>
  <c r="N426" i="40" s="1"/>
  <c r="I409" i="40"/>
  <c r="I427" i="40" s="1"/>
  <c r="I57" i="40" s="1"/>
  <c r="H410" i="40"/>
  <c r="H430" i="40" s="1"/>
  <c r="H58" i="40" s="1"/>
  <c r="F352" i="40"/>
  <c r="F447" i="40"/>
  <c r="F457" i="40" s="1"/>
  <c r="G457" i="40" s="1"/>
  <c r="G327" i="40" s="1"/>
  <c r="F327" i="40" s="1"/>
  <c r="I401" i="40"/>
  <c r="M401" i="40"/>
  <c r="L402" i="40"/>
  <c r="L420" i="40" s="1"/>
  <c r="L52" i="40" s="1"/>
  <c r="N406" i="40"/>
  <c r="N424" i="40" s="1"/>
  <c r="N54" i="40" s="1"/>
  <c r="M407" i="40"/>
  <c r="M425" i="40" s="1"/>
  <c r="L408" i="40"/>
  <c r="L426" i="40" s="1"/>
  <c r="H5" i="8"/>
  <c r="H4" i="8"/>
  <c r="E459" i="39"/>
  <c r="E458" i="39"/>
  <c r="E457" i="39"/>
  <c r="E441" i="39"/>
  <c r="E444" i="39" s="1"/>
  <c r="E454" i="39" s="1"/>
  <c r="E440" i="39"/>
  <c r="E443" i="39" s="1"/>
  <c r="E453" i="39" s="1"/>
  <c r="N435" i="39"/>
  <c r="M435" i="39"/>
  <c r="L435" i="39"/>
  <c r="K435" i="39"/>
  <c r="J435" i="39"/>
  <c r="I435" i="39"/>
  <c r="H435" i="39"/>
  <c r="G435" i="39"/>
  <c r="E429" i="39"/>
  <c r="N427" i="39"/>
  <c r="M427" i="39"/>
  <c r="L427" i="39"/>
  <c r="K427" i="39"/>
  <c r="J427" i="39"/>
  <c r="I427" i="39"/>
  <c r="H427" i="39"/>
  <c r="G427" i="39"/>
  <c r="E426" i="39"/>
  <c r="E425" i="39"/>
  <c r="N424" i="39"/>
  <c r="E424" i="39"/>
  <c r="E421" i="39"/>
  <c r="C421" i="39"/>
  <c r="E420" i="39"/>
  <c r="C420" i="39"/>
  <c r="E419" i="39"/>
  <c r="C419" i="39"/>
  <c r="C418" i="39"/>
  <c r="E417" i="39"/>
  <c r="C417" i="39"/>
  <c r="E416" i="39"/>
  <c r="C416" i="39"/>
  <c r="K405" i="39"/>
  <c r="K425" i="39" s="1"/>
  <c r="M401" i="39"/>
  <c r="M421" i="39" s="1"/>
  <c r="H398" i="39"/>
  <c r="H418" i="39" s="1"/>
  <c r="N389" i="39"/>
  <c r="M389" i="39"/>
  <c r="L389" i="39"/>
  <c r="K389" i="39"/>
  <c r="J389" i="39"/>
  <c r="I389" i="39"/>
  <c r="H389" i="39"/>
  <c r="G389" i="39"/>
  <c r="E384" i="39"/>
  <c r="D384" i="39"/>
  <c r="E383" i="39"/>
  <c r="M383" i="39" s="1"/>
  <c r="D383" i="39"/>
  <c r="E382" i="39"/>
  <c r="D382" i="39"/>
  <c r="H382" i="39" s="1"/>
  <c r="N381" i="39"/>
  <c r="M381" i="39"/>
  <c r="L381" i="39"/>
  <c r="K381" i="39"/>
  <c r="J381" i="39"/>
  <c r="I381" i="39"/>
  <c r="H381" i="39"/>
  <c r="D376" i="39"/>
  <c r="D374" i="39"/>
  <c r="M367" i="39"/>
  <c r="N366" i="39"/>
  <c r="L364" i="39"/>
  <c r="E364" i="39"/>
  <c r="N358" i="39"/>
  <c r="M358" i="39"/>
  <c r="L358" i="39"/>
  <c r="K358" i="39"/>
  <c r="J358" i="39"/>
  <c r="I358" i="39"/>
  <c r="H358" i="39"/>
  <c r="G358" i="39"/>
  <c r="N353" i="39"/>
  <c r="M353" i="39"/>
  <c r="L353" i="39"/>
  <c r="K353" i="39"/>
  <c r="J353" i="39"/>
  <c r="I353" i="39"/>
  <c r="H353" i="39"/>
  <c r="G353" i="39"/>
  <c r="N349" i="39"/>
  <c r="M349" i="39"/>
  <c r="L349" i="39"/>
  <c r="K349" i="39"/>
  <c r="J349" i="39"/>
  <c r="I349" i="39"/>
  <c r="H349" i="39"/>
  <c r="G349" i="39"/>
  <c r="N348" i="39"/>
  <c r="N406" i="39" s="1"/>
  <c r="N426" i="39" s="1"/>
  <c r="M348" i="39"/>
  <c r="M406" i="39" s="1"/>
  <c r="M426" i="39" s="1"/>
  <c r="L348" i="39"/>
  <c r="L406" i="39" s="1"/>
  <c r="L426" i="39" s="1"/>
  <c r="K348" i="39"/>
  <c r="K406" i="39" s="1"/>
  <c r="K426" i="39" s="1"/>
  <c r="J348" i="39"/>
  <c r="J406" i="39" s="1"/>
  <c r="J426" i="39" s="1"/>
  <c r="I348" i="39"/>
  <c r="I406" i="39" s="1"/>
  <c r="I426" i="39" s="1"/>
  <c r="H348" i="39"/>
  <c r="H406" i="39" s="1"/>
  <c r="H426" i="39" s="1"/>
  <c r="G348" i="39"/>
  <c r="G406" i="39" s="1"/>
  <c r="N347" i="39"/>
  <c r="N405" i="39" s="1"/>
  <c r="N425" i="39" s="1"/>
  <c r="M347" i="39"/>
  <c r="M405" i="39" s="1"/>
  <c r="M425" i="39" s="1"/>
  <c r="L347" i="39"/>
  <c r="L405" i="39" s="1"/>
  <c r="L425" i="39" s="1"/>
  <c r="K347" i="39"/>
  <c r="J347" i="39"/>
  <c r="J405" i="39" s="1"/>
  <c r="J425" i="39" s="1"/>
  <c r="I347" i="39"/>
  <c r="I405" i="39" s="1"/>
  <c r="I425" i="39" s="1"/>
  <c r="H347" i="39"/>
  <c r="H405" i="39" s="1"/>
  <c r="H425" i="39" s="1"/>
  <c r="G347" i="39"/>
  <c r="G405" i="39" s="1"/>
  <c r="N346" i="39"/>
  <c r="N404" i="39" s="1"/>
  <c r="M346" i="39"/>
  <c r="M404" i="39" s="1"/>
  <c r="M424" i="39" s="1"/>
  <c r="L346" i="39"/>
  <c r="L404" i="39" s="1"/>
  <c r="L424" i="39" s="1"/>
  <c r="K346" i="39"/>
  <c r="K404" i="39" s="1"/>
  <c r="K424" i="39" s="1"/>
  <c r="J346" i="39"/>
  <c r="J404" i="39" s="1"/>
  <c r="J424" i="39" s="1"/>
  <c r="I346" i="39"/>
  <c r="I404" i="39" s="1"/>
  <c r="I424" i="39" s="1"/>
  <c r="H346" i="39"/>
  <c r="H404" i="39" s="1"/>
  <c r="H424" i="39" s="1"/>
  <c r="G346" i="39"/>
  <c r="F345" i="39"/>
  <c r="F344" i="39"/>
  <c r="N343" i="39"/>
  <c r="N401" i="39" s="1"/>
  <c r="M343" i="39"/>
  <c r="L343" i="39"/>
  <c r="L401" i="39" s="1"/>
  <c r="L367" i="39" s="1"/>
  <c r="K343" i="39"/>
  <c r="K401" i="39" s="1"/>
  <c r="K421" i="39" s="1"/>
  <c r="J343" i="39"/>
  <c r="J401" i="39" s="1"/>
  <c r="I343" i="39"/>
  <c r="I401" i="39" s="1"/>
  <c r="I421" i="39" s="1"/>
  <c r="H343" i="39"/>
  <c r="H401" i="39" s="1"/>
  <c r="H421" i="39" s="1"/>
  <c r="G343" i="39"/>
  <c r="F343" i="39" s="1"/>
  <c r="N342" i="39"/>
  <c r="N400" i="39" s="1"/>
  <c r="N420" i="39" s="1"/>
  <c r="M342" i="39"/>
  <c r="M400" i="39" s="1"/>
  <c r="M420" i="39" s="1"/>
  <c r="L342" i="39"/>
  <c r="L400" i="39" s="1"/>
  <c r="L420" i="39" s="1"/>
  <c r="K342" i="39"/>
  <c r="K400" i="39" s="1"/>
  <c r="J342" i="39"/>
  <c r="J400" i="39" s="1"/>
  <c r="J420" i="39" s="1"/>
  <c r="I342" i="39"/>
  <c r="I400" i="39" s="1"/>
  <c r="I420" i="39" s="1"/>
  <c r="H342" i="39"/>
  <c r="H400" i="39" s="1"/>
  <c r="H420" i="39" s="1"/>
  <c r="G342" i="39"/>
  <c r="F342" i="39" s="1"/>
  <c r="F400" i="39" s="1"/>
  <c r="G400" i="39" s="1"/>
  <c r="G366" i="39" s="1"/>
  <c r="N341" i="39"/>
  <c r="N399" i="39" s="1"/>
  <c r="N365" i="39" s="1"/>
  <c r="M341" i="39"/>
  <c r="M399" i="39" s="1"/>
  <c r="M419" i="39" s="1"/>
  <c r="L341" i="39"/>
  <c r="L399" i="39" s="1"/>
  <c r="K341" i="39"/>
  <c r="K399" i="39" s="1"/>
  <c r="J341" i="39"/>
  <c r="J399" i="39" s="1"/>
  <c r="J419" i="39" s="1"/>
  <c r="I341" i="39"/>
  <c r="I399" i="39" s="1"/>
  <c r="I419" i="39" s="1"/>
  <c r="H341" i="39"/>
  <c r="G341" i="39"/>
  <c r="N340" i="39"/>
  <c r="N398" i="39" s="1"/>
  <c r="N418" i="39" s="1"/>
  <c r="M340" i="39"/>
  <c r="M398" i="39" s="1"/>
  <c r="L340" i="39"/>
  <c r="L398" i="39" s="1"/>
  <c r="L418" i="39" s="1"/>
  <c r="K340" i="39"/>
  <c r="K398" i="39" s="1"/>
  <c r="K418" i="39" s="1"/>
  <c r="J340" i="39"/>
  <c r="J398" i="39" s="1"/>
  <c r="J418" i="39" s="1"/>
  <c r="I340" i="39"/>
  <c r="I398" i="39" s="1"/>
  <c r="H340" i="39"/>
  <c r="G340" i="39"/>
  <c r="N339" i="39"/>
  <c r="N397" i="39" s="1"/>
  <c r="N417" i="39" s="1"/>
  <c r="M339" i="39"/>
  <c r="M397" i="39" s="1"/>
  <c r="M417" i="39" s="1"/>
  <c r="L339" i="39"/>
  <c r="L397" i="39" s="1"/>
  <c r="L417" i="39" s="1"/>
  <c r="K339" i="39"/>
  <c r="K397" i="39" s="1"/>
  <c r="K417" i="39" s="1"/>
  <c r="J339" i="39"/>
  <c r="J397" i="39" s="1"/>
  <c r="J417" i="39" s="1"/>
  <c r="I339" i="39"/>
  <c r="I397" i="39" s="1"/>
  <c r="I417" i="39" s="1"/>
  <c r="H339" i="39"/>
  <c r="H397" i="39" s="1"/>
  <c r="H417" i="39" s="1"/>
  <c r="G339" i="39"/>
  <c r="F339" i="39" s="1"/>
  <c r="F363" i="39" s="1"/>
  <c r="N332" i="39"/>
  <c r="M332" i="39"/>
  <c r="L332" i="39"/>
  <c r="K332" i="39"/>
  <c r="J332" i="39"/>
  <c r="I332" i="39"/>
  <c r="H332" i="39"/>
  <c r="G332" i="39"/>
  <c r="F316" i="39"/>
  <c r="F315" i="39"/>
  <c r="F314" i="39"/>
  <c r="F313" i="39"/>
  <c r="F312" i="39"/>
  <c r="N311" i="39"/>
  <c r="M311" i="39"/>
  <c r="L311" i="39"/>
  <c r="K311" i="39"/>
  <c r="J311" i="39"/>
  <c r="I311" i="39"/>
  <c r="H311" i="39"/>
  <c r="G311" i="39"/>
  <c r="N310" i="39"/>
  <c r="M310" i="39"/>
  <c r="L310" i="39"/>
  <c r="K310" i="39"/>
  <c r="J310" i="39"/>
  <c r="I310" i="39"/>
  <c r="H310" i="39"/>
  <c r="G310" i="39"/>
  <c r="F310" i="39" s="1"/>
  <c r="N307" i="39"/>
  <c r="M307" i="39"/>
  <c r="L307" i="39"/>
  <c r="K307" i="39"/>
  <c r="J307" i="39"/>
  <c r="I307" i="39"/>
  <c r="H307" i="39"/>
  <c r="G307" i="39"/>
  <c r="N284" i="39"/>
  <c r="N276" i="39" s="1"/>
  <c r="M284" i="39"/>
  <c r="M276" i="39" s="1"/>
  <c r="L284" i="39"/>
  <c r="L276" i="39" s="1"/>
  <c r="K284" i="39"/>
  <c r="K276" i="39" s="1"/>
  <c r="J284" i="39"/>
  <c r="J276" i="39" s="1"/>
  <c r="I284" i="39"/>
  <c r="I276" i="39" s="1"/>
  <c r="H284" i="39"/>
  <c r="G284" i="39"/>
  <c r="H276" i="39"/>
  <c r="G276" i="39"/>
  <c r="N267" i="39"/>
  <c r="M267" i="39"/>
  <c r="L267" i="39"/>
  <c r="K267" i="39"/>
  <c r="J267" i="39"/>
  <c r="I267" i="39"/>
  <c r="H267" i="39"/>
  <c r="G267" i="39"/>
  <c r="N258" i="39"/>
  <c r="M258" i="39"/>
  <c r="L258" i="39"/>
  <c r="K258" i="39"/>
  <c r="J258" i="39"/>
  <c r="I258" i="39"/>
  <c r="H258" i="39"/>
  <c r="G258" i="39"/>
  <c r="E246" i="39"/>
  <c r="E245" i="39"/>
  <c r="E244" i="39"/>
  <c r="E228" i="39"/>
  <c r="E231" i="39" s="1"/>
  <c r="E241" i="39" s="1"/>
  <c r="E227" i="39"/>
  <c r="E230" i="39" s="1"/>
  <c r="E240" i="39" s="1"/>
  <c r="N222" i="39"/>
  <c r="M222" i="39"/>
  <c r="L222" i="39"/>
  <c r="K222" i="39"/>
  <c r="J222" i="39"/>
  <c r="I222" i="39"/>
  <c r="H222" i="39"/>
  <c r="G222" i="39"/>
  <c r="E216" i="39"/>
  <c r="F214" i="39"/>
  <c r="E213" i="39"/>
  <c r="E212" i="39"/>
  <c r="I211" i="39"/>
  <c r="H211" i="39"/>
  <c r="E211" i="39"/>
  <c r="E208" i="39"/>
  <c r="C208" i="39"/>
  <c r="J207" i="39"/>
  <c r="E207" i="39"/>
  <c r="C207" i="39"/>
  <c r="M206" i="39"/>
  <c r="E206" i="39"/>
  <c r="C206" i="39"/>
  <c r="C205" i="39"/>
  <c r="N204" i="39"/>
  <c r="K204" i="39"/>
  <c r="K19" i="39" s="1"/>
  <c r="J204" i="39"/>
  <c r="J19" i="39" s="1"/>
  <c r="E204" i="39"/>
  <c r="C204" i="39"/>
  <c r="E203" i="39"/>
  <c r="C203" i="39"/>
  <c r="N199" i="39"/>
  <c r="M199" i="39"/>
  <c r="L199" i="39"/>
  <c r="K199" i="39"/>
  <c r="J199" i="39"/>
  <c r="I199" i="39"/>
  <c r="H199" i="39"/>
  <c r="N193" i="39"/>
  <c r="N213" i="39" s="1"/>
  <c r="M193" i="39"/>
  <c r="M213" i="39" s="1"/>
  <c r="L193" i="39"/>
  <c r="L213" i="39" s="1"/>
  <c r="K193" i="39"/>
  <c r="K213" i="39" s="1"/>
  <c r="J193" i="39"/>
  <c r="J213" i="39" s="1"/>
  <c r="I193" i="39"/>
  <c r="I213" i="39" s="1"/>
  <c r="I60" i="39" s="1"/>
  <c r="H193" i="39"/>
  <c r="H213" i="39" s="1"/>
  <c r="G193" i="39"/>
  <c r="N192" i="39"/>
  <c r="N212" i="39" s="1"/>
  <c r="M192" i="39"/>
  <c r="M212" i="39" s="1"/>
  <c r="L192" i="39"/>
  <c r="L212" i="39" s="1"/>
  <c r="K192" i="39"/>
  <c r="K212" i="39" s="1"/>
  <c r="J192" i="39"/>
  <c r="J212" i="39" s="1"/>
  <c r="I192" i="39"/>
  <c r="I212" i="39" s="1"/>
  <c r="H192" i="39"/>
  <c r="H212" i="39" s="1"/>
  <c r="G192" i="39"/>
  <c r="F192" i="39" s="1"/>
  <c r="F212" i="39" s="1"/>
  <c r="N191" i="39"/>
  <c r="N211" i="39" s="1"/>
  <c r="M191" i="39"/>
  <c r="M211" i="39" s="1"/>
  <c r="L191" i="39"/>
  <c r="L211" i="39" s="1"/>
  <c r="K191" i="39"/>
  <c r="K211" i="39" s="1"/>
  <c r="J191" i="39"/>
  <c r="J211" i="39" s="1"/>
  <c r="I191" i="39"/>
  <c r="H191" i="39"/>
  <c r="G191" i="39"/>
  <c r="F191" i="39" s="1"/>
  <c r="N188" i="39"/>
  <c r="N208" i="39" s="1"/>
  <c r="M188" i="39"/>
  <c r="M208" i="39" s="1"/>
  <c r="L188" i="39"/>
  <c r="L208" i="39" s="1"/>
  <c r="K188" i="39"/>
  <c r="K208" i="39" s="1"/>
  <c r="J188" i="39"/>
  <c r="J154" i="39" s="1"/>
  <c r="I188" i="39"/>
  <c r="I208" i="39" s="1"/>
  <c r="H188" i="39"/>
  <c r="H208" i="39" s="1"/>
  <c r="N187" i="39"/>
  <c r="N153" i="39" s="1"/>
  <c r="M187" i="39"/>
  <c r="M207" i="39" s="1"/>
  <c r="L187" i="39"/>
  <c r="L207" i="39" s="1"/>
  <c r="K187" i="39"/>
  <c r="K207" i="39" s="1"/>
  <c r="J187" i="39"/>
  <c r="I187" i="39"/>
  <c r="I207" i="39" s="1"/>
  <c r="H187" i="39"/>
  <c r="H207" i="39" s="1"/>
  <c r="N186" i="39"/>
  <c r="N206" i="39" s="1"/>
  <c r="M186" i="39"/>
  <c r="L186" i="39"/>
  <c r="L206" i="39" s="1"/>
  <c r="K186" i="39"/>
  <c r="K206" i="39" s="1"/>
  <c r="J186" i="39"/>
  <c r="J206" i="39" s="1"/>
  <c r="I186" i="39"/>
  <c r="I206" i="39" s="1"/>
  <c r="H186" i="39"/>
  <c r="H206" i="39" s="1"/>
  <c r="F186" i="39"/>
  <c r="G186" i="39" s="1"/>
  <c r="G152" i="39" s="1"/>
  <c r="N185" i="39"/>
  <c r="N205" i="39" s="1"/>
  <c r="M185" i="39"/>
  <c r="M205" i="39" s="1"/>
  <c r="L185" i="39"/>
  <c r="L205" i="39" s="1"/>
  <c r="K185" i="39"/>
  <c r="J185" i="39"/>
  <c r="J205" i="39" s="1"/>
  <c r="I185" i="39"/>
  <c r="I205" i="39" s="1"/>
  <c r="H185" i="39"/>
  <c r="H151" i="39" s="1"/>
  <c r="E185" i="39"/>
  <c r="E205" i="39" s="1"/>
  <c r="E398" i="39" s="1"/>
  <c r="E418" i="39" s="1"/>
  <c r="N184" i="39"/>
  <c r="N150" i="39" s="1"/>
  <c r="N164" i="39" s="1"/>
  <c r="M184" i="39"/>
  <c r="M204" i="39" s="1"/>
  <c r="L184" i="39"/>
  <c r="L204" i="39" s="1"/>
  <c r="L19" i="39" s="1"/>
  <c r="K184" i="39"/>
  <c r="J184" i="39"/>
  <c r="I184" i="39"/>
  <c r="I204" i="39" s="1"/>
  <c r="H184" i="39"/>
  <c r="H204" i="39" s="1"/>
  <c r="H19" i="39" s="1"/>
  <c r="J179" i="39"/>
  <c r="N176" i="39"/>
  <c r="M176" i="39"/>
  <c r="L176" i="39"/>
  <c r="K176" i="39"/>
  <c r="J176" i="39"/>
  <c r="I176" i="39"/>
  <c r="H176" i="39"/>
  <c r="G176" i="39"/>
  <c r="E171" i="39"/>
  <c r="D171" i="39"/>
  <c r="L170" i="39"/>
  <c r="H170" i="39"/>
  <c r="E170" i="39"/>
  <c r="N170" i="39" s="1"/>
  <c r="D170" i="39"/>
  <c r="E169" i="39"/>
  <c r="D169" i="39"/>
  <c r="N168" i="39"/>
  <c r="M168" i="39"/>
  <c r="L168" i="39"/>
  <c r="K168" i="39"/>
  <c r="J168" i="39"/>
  <c r="I168" i="39"/>
  <c r="H168" i="39"/>
  <c r="N167" i="39"/>
  <c r="M167" i="39"/>
  <c r="L167" i="39"/>
  <c r="K167" i="39"/>
  <c r="J167" i="39"/>
  <c r="I167" i="39"/>
  <c r="H167" i="39"/>
  <c r="N166" i="39"/>
  <c r="M166" i="39"/>
  <c r="L166" i="39"/>
  <c r="K166" i="39"/>
  <c r="J166" i="39"/>
  <c r="I166" i="39"/>
  <c r="H166" i="39"/>
  <c r="N165" i="39"/>
  <c r="M165" i="39"/>
  <c r="L165" i="39"/>
  <c r="K165" i="39"/>
  <c r="J165" i="39"/>
  <c r="I165" i="39"/>
  <c r="H165" i="39"/>
  <c r="D163" i="39"/>
  <c r="N162" i="39"/>
  <c r="M162" i="39"/>
  <c r="L162" i="39"/>
  <c r="K162" i="39"/>
  <c r="J162" i="39"/>
  <c r="I162" i="39"/>
  <c r="H162" i="39"/>
  <c r="D161" i="39"/>
  <c r="N160" i="39"/>
  <c r="M160" i="39"/>
  <c r="L160" i="39"/>
  <c r="K160" i="39"/>
  <c r="J160" i="39"/>
  <c r="I160" i="39"/>
  <c r="H160" i="39"/>
  <c r="G160" i="39"/>
  <c r="K154" i="39"/>
  <c r="J153" i="39"/>
  <c r="I153" i="39"/>
  <c r="H153" i="39"/>
  <c r="N152" i="39"/>
  <c r="M152" i="39"/>
  <c r="L152" i="39"/>
  <c r="K152" i="39"/>
  <c r="J152" i="39"/>
  <c r="M151" i="39"/>
  <c r="L151" i="39"/>
  <c r="L150" i="39"/>
  <c r="K150" i="39"/>
  <c r="J150" i="39"/>
  <c r="J164" i="39" s="1"/>
  <c r="I150" i="39"/>
  <c r="I164" i="39" s="1"/>
  <c r="H150" i="39"/>
  <c r="H164" i="39" s="1"/>
  <c r="M149" i="39"/>
  <c r="M163" i="39" s="1"/>
  <c r="G149" i="39"/>
  <c r="L148" i="39"/>
  <c r="J148" i="39"/>
  <c r="J161" i="39" s="1"/>
  <c r="H148" i="39"/>
  <c r="N145" i="39"/>
  <c r="M145" i="39"/>
  <c r="L145" i="39"/>
  <c r="K145" i="39"/>
  <c r="J145" i="39"/>
  <c r="I145" i="39"/>
  <c r="H145" i="39"/>
  <c r="G145" i="39"/>
  <c r="N142" i="39"/>
  <c r="M142" i="39"/>
  <c r="L142" i="39"/>
  <c r="L355" i="39" s="1"/>
  <c r="L447" i="39" s="1"/>
  <c r="K142" i="39"/>
  <c r="J142" i="39"/>
  <c r="I142" i="39"/>
  <c r="H142" i="39"/>
  <c r="H355" i="39" s="1"/>
  <c r="H447" i="39" s="1"/>
  <c r="G142" i="39"/>
  <c r="F142" i="39" s="1"/>
  <c r="N141" i="39"/>
  <c r="N354" i="39" s="1"/>
  <c r="M141" i="39"/>
  <c r="M354" i="39" s="1"/>
  <c r="L141" i="39"/>
  <c r="L354" i="39" s="1"/>
  <c r="K141" i="39"/>
  <c r="K354" i="39" s="1"/>
  <c r="J141" i="39"/>
  <c r="J354" i="39" s="1"/>
  <c r="I141" i="39"/>
  <c r="I354" i="39" s="1"/>
  <c r="H141" i="39"/>
  <c r="H354" i="39" s="1"/>
  <c r="G141" i="39"/>
  <c r="F140" i="39"/>
  <c r="N139" i="39"/>
  <c r="N352" i="39" s="1"/>
  <c r="M139" i="39"/>
  <c r="L139" i="39"/>
  <c r="L352" i="39" s="1"/>
  <c r="K139" i="39"/>
  <c r="K352" i="39" s="1"/>
  <c r="J139" i="39"/>
  <c r="J352" i="39" s="1"/>
  <c r="I139" i="39"/>
  <c r="H139" i="39"/>
  <c r="H352" i="39" s="1"/>
  <c r="G139" i="39"/>
  <c r="G352" i="39" s="1"/>
  <c r="N138" i="39"/>
  <c r="M138" i="39"/>
  <c r="M351" i="39" s="1"/>
  <c r="L138" i="39"/>
  <c r="L351" i="39" s="1"/>
  <c r="K138" i="39"/>
  <c r="K351" i="39" s="1"/>
  <c r="J138" i="39"/>
  <c r="J157" i="39" s="1"/>
  <c r="J171" i="39" s="1"/>
  <c r="I138" i="39"/>
  <c r="I351" i="39" s="1"/>
  <c r="H138" i="39"/>
  <c r="H351" i="39" s="1"/>
  <c r="G138" i="39"/>
  <c r="G351" i="39" s="1"/>
  <c r="N137" i="39"/>
  <c r="M137" i="39"/>
  <c r="L137" i="39"/>
  <c r="L194" i="39" s="1"/>
  <c r="L216" i="39" s="1"/>
  <c r="K137" i="39"/>
  <c r="K125" i="39" s="1"/>
  <c r="J137" i="39"/>
  <c r="I137" i="39"/>
  <c r="H137" i="39"/>
  <c r="G137" i="39"/>
  <c r="F136" i="39"/>
  <c r="F135" i="39"/>
  <c r="F134" i="39"/>
  <c r="F133" i="39"/>
  <c r="F132" i="39"/>
  <c r="F131" i="39"/>
  <c r="F130" i="39"/>
  <c r="F129" i="39"/>
  <c r="F128" i="39"/>
  <c r="F127" i="39"/>
  <c r="F126" i="39"/>
  <c r="N123" i="39"/>
  <c r="N181" i="39" s="1"/>
  <c r="M123" i="39"/>
  <c r="M181" i="39" s="1"/>
  <c r="L123" i="39"/>
  <c r="L181" i="39" s="1"/>
  <c r="K123" i="39"/>
  <c r="K181" i="39" s="1"/>
  <c r="J123" i="39"/>
  <c r="J181" i="39" s="1"/>
  <c r="I123" i="39"/>
  <c r="I181" i="39" s="1"/>
  <c r="H123" i="39"/>
  <c r="H181" i="39" s="1"/>
  <c r="G123" i="39"/>
  <c r="G181" i="39" s="1"/>
  <c r="N122" i="39"/>
  <c r="M122" i="39"/>
  <c r="M180" i="39" s="1"/>
  <c r="M198" i="39" s="1"/>
  <c r="L122" i="39"/>
  <c r="L180" i="39" s="1"/>
  <c r="L198" i="39" s="1"/>
  <c r="K122" i="39"/>
  <c r="K149" i="39" s="1"/>
  <c r="K163" i="39" s="1"/>
  <c r="J122" i="39"/>
  <c r="I122" i="39"/>
  <c r="I180" i="39" s="1"/>
  <c r="I198" i="39" s="1"/>
  <c r="H122" i="39"/>
  <c r="H149" i="39" s="1"/>
  <c r="G122" i="39"/>
  <c r="N121" i="39"/>
  <c r="N179" i="39" s="1"/>
  <c r="M121" i="39"/>
  <c r="M179" i="39" s="1"/>
  <c r="L121" i="39"/>
  <c r="K121" i="39"/>
  <c r="J121" i="39"/>
  <c r="I121" i="39"/>
  <c r="I148" i="39" s="1"/>
  <c r="I161" i="39" s="1"/>
  <c r="H121" i="39"/>
  <c r="G121" i="39"/>
  <c r="N119" i="39"/>
  <c r="M119" i="39"/>
  <c r="L119" i="39"/>
  <c r="K119" i="39"/>
  <c r="J119" i="39"/>
  <c r="I119" i="39"/>
  <c r="H119" i="39"/>
  <c r="G119" i="39"/>
  <c r="F103" i="39"/>
  <c r="F102" i="39"/>
  <c r="F101" i="39"/>
  <c r="F100" i="39"/>
  <c r="F99" i="39"/>
  <c r="F98" i="39"/>
  <c r="F97" i="39"/>
  <c r="F94" i="39"/>
  <c r="F62" i="39"/>
  <c r="D62" i="39"/>
  <c r="F61" i="39"/>
  <c r="D61" i="39"/>
  <c r="N60" i="39"/>
  <c r="J60" i="39"/>
  <c r="D60" i="39"/>
  <c r="H54" i="39"/>
  <c r="N51" i="39"/>
  <c r="M51" i="39"/>
  <c r="L51" i="39"/>
  <c r="K51" i="39"/>
  <c r="J51" i="39"/>
  <c r="I51" i="39"/>
  <c r="H51" i="39"/>
  <c r="G51" i="39"/>
  <c r="F48" i="39"/>
  <c r="D48" i="39"/>
  <c r="D47" i="39"/>
  <c r="F43" i="39"/>
  <c r="C43" i="39"/>
  <c r="F42" i="39"/>
  <c r="C42" i="39"/>
  <c r="F41" i="39"/>
  <c r="C41" i="39"/>
  <c r="F40" i="39"/>
  <c r="C40" i="39"/>
  <c r="F39" i="39"/>
  <c r="C39" i="39"/>
  <c r="F38" i="39"/>
  <c r="C38" i="39"/>
  <c r="F37" i="39"/>
  <c r="C37" i="39"/>
  <c r="F36" i="39"/>
  <c r="C36" i="39"/>
  <c r="F35" i="39"/>
  <c r="C35" i="39"/>
  <c r="F34" i="39"/>
  <c r="C34" i="39"/>
  <c r="F33" i="39"/>
  <c r="C33" i="39"/>
  <c r="C32" i="39"/>
  <c r="F31" i="39"/>
  <c r="C31" i="39"/>
  <c r="F30" i="39"/>
  <c r="E30" i="39"/>
  <c r="C30" i="39"/>
  <c r="F29" i="39"/>
  <c r="E29" i="39"/>
  <c r="C29" i="39"/>
  <c r="F28" i="39"/>
  <c r="E28" i="39"/>
  <c r="C28" i="39"/>
  <c r="F27" i="39"/>
  <c r="E27" i="39"/>
  <c r="C27" i="39"/>
  <c r="N26" i="39"/>
  <c r="M26" i="39"/>
  <c r="L26" i="39"/>
  <c r="K26" i="39"/>
  <c r="J26" i="39"/>
  <c r="I26" i="39"/>
  <c r="H26" i="39"/>
  <c r="G26" i="39"/>
  <c r="E26" i="39"/>
  <c r="C26" i="39"/>
  <c r="C25" i="39"/>
  <c r="N24" i="39"/>
  <c r="N336" i="39" s="1"/>
  <c r="N394" i="39" s="1"/>
  <c r="M24" i="39"/>
  <c r="L24" i="39"/>
  <c r="L336" i="39" s="1"/>
  <c r="L394" i="39" s="1"/>
  <c r="K24" i="39"/>
  <c r="K336" i="39" s="1"/>
  <c r="K394" i="39" s="1"/>
  <c r="J24" i="39"/>
  <c r="J336" i="39" s="1"/>
  <c r="J394" i="39" s="1"/>
  <c r="I24" i="39"/>
  <c r="H24" i="39"/>
  <c r="G24" i="39"/>
  <c r="C24" i="39"/>
  <c r="N23" i="39"/>
  <c r="M23" i="39"/>
  <c r="L23" i="39"/>
  <c r="L335" i="39" s="1"/>
  <c r="K23" i="39"/>
  <c r="J23" i="39"/>
  <c r="I23" i="39"/>
  <c r="H23" i="39"/>
  <c r="G23" i="39"/>
  <c r="G335" i="39" s="1"/>
  <c r="C23" i="39"/>
  <c r="N22" i="39"/>
  <c r="N334" i="39" s="1"/>
  <c r="M22" i="39"/>
  <c r="M334" i="39" s="1"/>
  <c r="L22" i="39"/>
  <c r="L334" i="39" s="1"/>
  <c r="K22" i="39"/>
  <c r="J22" i="39"/>
  <c r="J334" i="39" s="1"/>
  <c r="I22" i="39"/>
  <c r="I334" i="39" s="1"/>
  <c r="H22" i="39"/>
  <c r="G22" i="39"/>
  <c r="C22" i="39"/>
  <c r="N19" i="39"/>
  <c r="M19" i="39"/>
  <c r="I19" i="39"/>
  <c r="F13" i="39"/>
  <c r="N12" i="39"/>
  <c r="N306" i="39" s="1"/>
  <c r="M12" i="39"/>
  <c r="M306" i="39" s="1"/>
  <c r="L12" i="39"/>
  <c r="L306" i="39" s="1"/>
  <c r="K12" i="39"/>
  <c r="K306" i="39" s="1"/>
  <c r="J12" i="39"/>
  <c r="J306" i="39" s="1"/>
  <c r="I12" i="39"/>
  <c r="I306" i="39" s="1"/>
  <c r="H12" i="39"/>
  <c r="H306" i="39" s="1"/>
  <c r="G12" i="39"/>
  <c r="G306" i="39" s="1"/>
  <c r="N11" i="39"/>
  <c r="N305" i="39" s="1"/>
  <c r="M11" i="39"/>
  <c r="M305" i="39" s="1"/>
  <c r="L11" i="39"/>
  <c r="L305" i="39" s="1"/>
  <c r="K11" i="39"/>
  <c r="K305" i="39" s="1"/>
  <c r="J11" i="39"/>
  <c r="J305" i="39" s="1"/>
  <c r="I11" i="39"/>
  <c r="I305" i="39" s="1"/>
  <c r="H11" i="39"/>
  <c r="H305" i="39" s="1"/>
  <c r="G11" i="39"/>
  <c r="G305" i="39" s="1"/>
  <c r="N10" i="39"/>
  <c r="N304" i="39" s="1"/>
  <c r="M10" i="39"/>
  <c r="M304" i="39" s="1"/>
  <c r="L10" i="39"/>
  <c r="L304" i="39" s="1"/>
  <c r="K10" i="39"/>
  <c r="K304" i="39" s="1"/>
  <c r="J10" i="39"/>
  <c r="J304" i="39" s="1"/>
  <c r="I10" i="39"/>
  <c r="I304" i="39" s="1"/>
  <c r="H10" i="39"/>
  <c r="H304" i="39" s="1"/>
  <c r="G10" i="39"/>
  <c r="G304" i="39" s="1"/>
  <c r="N9" i="39"/>
  <c r="N301" i="39" s="1"/>
  <c r="M9" i="39"/>
  <c r="M301" i="39" s="1"/>
  <c r="L9" i="39"/>
  <c r="L301" i="39" s="1"/>
  <c r="K9" i="39"/>
  <c r="K301" i="39" s="1"/>
  <c r="J9" i="39"/>
  <c r="J301" i="39" s="1"/>
  <c r="I9" i="39"/>
  <c r="I301" i="39" s="1"/>
  <c r="H9" i="39"/>
  <c r="H301" i="39" s="1"/>
  <c r="G9" i="39"/>
  <c r="G301" i="39" s="1"/>
  <c r="N8" i="39"/>
  <c r="M8" i="39"/>
  <c r="L8" i="39"/>
  <c r="L300" i="39" s="1"/>
  <c r="K8" i="39"/>
  <c r="J8" i="39"/>
  <c r="I8" i="39"/>
  <c r="H8" i="39"/>
  <c r="H300" i="39" s="1"/>
  <c r="G8" i="39"/>
  <c r="E320" i="38"/>
  <c r="E319" i="38"/>
  <c r="H318" i="38"/>
  <c r="E318" i="38"/>
  <c r="L318" i="38" s="1"/>
  <c r="L296" i="38"/>
  <c r="K296" i="38"/>
  <c r="J296" i="38"/>
  <c r="I296" i="38"/>
  <c r="H296" i="38"/>
  <c r="G296" i="38"/>
  <c r="E290" i="38"/>
  <c r="L288" i="38"/>
  <c r="K288" i="38"/>
  <c r="J288" i="38"/>
  <c r="I288" i="38"/>
  <c r="H288" i="38"/>
  <c r="G288" i="38"/>
  <c r="E287" i="38"/>
  <c r="E286" i="38"/>
  <c r="H285" i="38"/>
  <c r="E285" i="38"/>
  <c r="C282" i="38"/>
  <c r="C281" i="38"/>
  <c r="C280" i="38"/>
  <c r="K279" i="38"/>
  <c r="C279" i="38"/>
  <c r="C278" i="38"/>
  <c r="C277" i="38"/>
  <c r="L268" i="38"/>
  <c r="L285" i="38" s="1"/>
  <c r="H268" i="38"/>
  <c r="L265" i="38"/>
  <c r="L282" i="38" s="1"/>
  <c r="K264" i="38"/>
  <c r="K281" i="38" s="1"/>
  <c r="K263" i="38"/>
  <c r="K280" i="38" s="1"/>
  <c r="H263" i="38"/>
  <c r="H280" i="38" s="1"/>
  <c r="L255" i="38"/>
  <c r="K255" i="38"/>
  <c r="J255" i="38"/>
  <c r="I255" i="38"/>
  <c r="H255" i="38"/>
  <c r="G255" i="38"/>
  <c r="L252" i="38"/>
  <c r="L308" i="38" s="1"/>
  <c r="K252" i="38"/>
  <c r="K308" i="38" s="1"/>
  <c r="K318" i="38" s="1"/>
  <c r="J252" i="38"/>
  <c r="J308" i="38" s="1"/>
  <c r="I252" i="38"/>
  <c r="I308" i="38" s="1"/>
  <c r="H252" i="38"/>
  <c r="H308" i="38" s="1"/>
  <c r="G252" i="38"/>
  <c r="L251" i="38"/>
  <c r="K251" i="38"/>
  <c r="J251" i="38"/>
  <c r="I251" i="38"/>
  <c r="H251" i="38"/>
  <c r="G251" i="38"/>
  <c r="F251" i="38" s="1"/>
  <c r="L250" i="38"/>
  <c r="K250" i="38"/>
  <c r="J250" i="38"/>
  <c r="I250" i="38"/>
  <c r="H250" i="38"/>
  <c r="G250" i="38"/>
  <c r="F250" i="38" s="1"/>
  <c r="L249" i="38"/>
  <c r="K249" i="38"/>
  <c r="J249" i="38"/>
  <c r="I249" i="38"/>
  <c r="H249" i="38"/>
  <c r="G249" i="38"/>
  <c r="L248" i="38"/>
  <c r="K248" i="38"/>
  <c r="J248" i="38"/>
  <c r="I248" i="38"/>
  <c r="H248" i="38"/>
  <c r="G248" i="38"/>
  <c r="L247" i="38"/>
  <c r="K247" i="38"/>
  <c r="J247" i="38"/>
  <c r="I247" i="38"/>
  <c r="H247" i="38"/>
  <c r="G247" i="38"/>
  <c r="F247" i="38"/>
  <c r="L246" i="38"/>
  <c r="K246" i="38"/>
  <c r="J246" i="38"/>
  <c r="J271" i="38" s="1"/>
  <c r="J290" i="38" s="1"/>
  <c r="I246" i="38"/>
  <c r="H246" i="38"/>
  <c r="G246" i="38"/>
  <c r="L245" i="38"/>
  <c r="L270" i="38" s="1"/>
  <c r="L287" i="38" s="1"/>
  <c r="K245" i="38"/>
  <c r="K270" i="38" s="1"/>
  <c r="K287" i="38" s="1"/>
  <c r="J245" i="38"/>
  <c r="J270" i="38" s="1"/>
  <c r="J287" i="38" s="1"/>
  <c r="I245" i="38"/>
  <c r="I270" i="38" s="1"/>
  <c r="I287" i="38" s="1"/>
  <c r="H245" i="38"/>
  <c r="H270" i="38" s="1"/>
  <c r="H287" i="38" s="1"/>
  <c r="G245" i="38"/>
  <c r="G270" i="38" s="1"/>
  <c r="L244" i="38"/>
  <c r="L269" i="38" s="1"/>
  <c r="L286" i="38" s="1"/>
  <c r="K244" i="38"/>
  <c r="K269" i="38" s="1"/>
  <c r="K286" i="38" s="1"/>
  <c r="J244" i="38"/>
  <c r="J269" i="38" s="1"/>
  <c r="J286" i="38" s="1"/>
  <c r="I244" i="38"/>
  <c r="I269" i="38" s="1"/>
  <c r="I286" i="38" s="1"/>
  <c r="H244" i="38"/>
  <c r="H269" i="38" s="1"/>
  <c r="H286" i="38" s="1"/>
  <c r="G244" i="38"/>
  <c r="L243" i="38"/>
  <c r="K243" i="38"/>
  <c r="K268" i="38" s="1"/>
  <c r="K285" i="38" s="1"/>
  <c r="J243" i="38"/>
  <c r="J268" i="38" s="1"/>
  <c r="J285" i="38" s="1"/>
  <c r="I243" i="38"/>
  <c r="I268" i="38" s="1"/>
  <c r="I285" i="38" s="1"/>
  <c r="H243" i="38"/>
  <c r="G243" i="38"/>
  <c r="G268" i="38" s="1"/>
  <c r="L242" i="38"/>
  <c r="K242" i="38"/>
  <c r="J242" i="38"/>
  <c r="I242" i="38"/>
  <c r="H242" i="38"/>
  <c r="G242" i="38"/>
  <c r="L241" i="38"/>
  <c r="K241" i="38"/>
  <c r="J241" i="38"/>
  <c r="I241" i="38"/>
  <c r="H241" i="38"/>
  <c r="G241" i="38"/>
  <c r="L240" i="38"/>
  <c r="K240" i="38"/>
  <c r="K265" i="38" s="1"/>
  <c r="K282" i="38" s="1"/>
  <c r="J240" i="38"/>
  <c r="J265" i="38" s="1"/>
  <c r="J282" i="38" s="1"/>
  <c r="I240" i="38"/>
  <c r="I265" i="38" s="1"/>
  <c r="I282" i="38" s="1"/>
  <c r="H240" i="38"/>
  <c r="H265" i="38" s="1"/>
  <c r="H282" i="38" s="1"/>
  <c r="G240" i="38"/>
  <c r="F240" i="38" s="1"/>
  <c r="L239" i="38"/>
  <c r="L264" i="38" s="1"/>
  <c r="L281" i="38" s="1"/>
  <c r="K239" i="38"/>
  <c r="J239" i="38"/>
  <c r="J264" i="38" s="1"/>
  <c r="J281" i="38" s="1"/>
  <c r="I239" i="38"/>
  <c r="I264" i="38" s="1"/>
  <c r="I281" i="38" s="1"/>
  <c r="H239" i="38"/>
  <c r="H264" i="38" s="1"/>
  <c r="H281" i="38" s="1"/>
  <c r="G239" i="38"/>
  <c r="L238" i="38"/>
  <c r="L263" i="38" s="1"/>
  <c r="L280" i="38" s="1"/>
  <c r="K238" i="38"/>
  <c r="J238" i="38"/>
  <c r="J263" i="38" s="1"/>
  <c r="J280" i="38" s="1"/>
  <c r="I238" i="38"/>
  <c r="I263" i="38" s="1"/>
  <c r="I280" i="38" s="1"/>
  <c r="H238" i="38"/>
  <c r="G238" i="38"/>
  <c r="L237" i="38"/>
  <c r="L262" i="38" s="1"/>
  <c r="L279" i="38" s="1"/>
  <c r="K237" i="38"/>
  <c r="K262" i="38" s="1"/>
  <c r="J237" i="38"/>
  <c r="J262" i="38" s="1"/>
  <c r="J279" i="38" s="1"/>
  <c r="I237" i="38"/>
  <c r="I262" i="38" s="1"/>
  <c r="I279" i="38" s="1"/>
  <c r="H237" i="38"/>
  <c r="H262" i="38" s="1"/>
  <c r="H279" i="38" s="1"/>
  <c r="G237" i="38"/>
  <c r="L236" i="38"/>
  <c r="L261" i="38" s="1"/>
  <c r="L278" i="38" s="1"/>
  <c r="K236" i="38"/>
  <c r="K261" i="38" s="1"/>
  <c r="K278" i="38" s="1"/>
  <c r="J236" i="38"/>
  <c r="J261" i="38" s="1"/>
  <c r="J278" i="38" s="1"/>
  <c r="I236" i="38"/>
  <c r="I261" i="38" s="1"/>
  <c r="I278" i="38" s="1"/>
  <c r="H236" i="38"/>
  <c r="H261" i="38" s="1"/>
  <c r="H278" i="38" s="1"/>
  <c r="G236" i="38"/>
  <c r="L233" i="38"/>
  <c r="K233" i="38"/>
  <c r="K258" i="38" s="1"/>
  <c r="J233" i="38"/>
  <c r="J258" i="38" s="1"/>
  <c r="I233" i="38"/>
  <c r="I258" i="38" s="1"/>
  <c r="H233" i="38"/>
  <c r="G233" i="38"/>
  <c r="G258" i="38" s="1"/>
  <c r="L231" i="38"/>
  <c r="K231" i="38"/>
  <c r="J231" i="38"/>
  <c r="I231" i="38"/>
  <c r="H231" i="38"/>
  <c r="G231" i="38"/>
  <c r="L215" i="38"/>
  <c r="K215" i="38"/>
  <c r="J215" i="38"/>
  <c r="I215" i="38"/>
  <c r="H215" i="38"/>
  <c r="G215" i="38"/>
  <c r="L214" i="38"/>
  <c r="L13" i="38" s="1"/>
  <c r="K214" i="38"/>
  <c r="J214" i="38"/>
  <c r="I214" i="38"/>
  <c r="H214" i="38"/>
  <c r="G214" i="38"/>
  <c r="L213" i="38"/>
  <c r="K213" i="38"/>
  <c r="J213" i="38"/>
  <c r="I213" i="38"/>
  <c r="H213" i="38"/>
  <c r="F213" i="38" s="1"/>
  <c r="G213" i="38"/>
  <c r="E212" i="38"/>
  <c r="E302" i="38" s="1"/>
  <c r="E305" i="38" s="1"/>
  <c r="E315" i="38" s="1"/>
  <c r="E211" i="38"/>
  <c r="E301" i="38" s="1"/>
  <c r="E304" i="38" s="1"/>
  <c r="E314" i="38" s="1"/>
  <c r="L210" i="38"/>
  <c r="L340" i="38" s="1"/>
  <c r="L332" i="38" s="1"/>
  <c r="K210" i="38"/>
  <c r="K340" i="38" s="1"/>
  <c r="K332" i="38" s="1"/>
  <c r="J210" i="38"/>
  <c r="J340" i="38" s="1"/>
  <c r="J332" i="38" s="1"/>
  <c r="I210" i="38"/>
  <c r="I340" i="38" s="1"/>
  <c r="I332" i="38" s="1"/>
  <c r="H210" i="38"/>
  <c r="H340" i="38" s="1"/>
  <c r="H332" i="38" s="1"/>
  <c r="L195" i="38"/>
  <c r="L187" i="38" s="1"/>
  <c r="K195" i="38"/>
  <c r="J195" i="38"/>
  <c r="J187" i="38" s="1"/>
  <c r="I195" i="38"/>
  <c r="I187" i="38" s="1"/>
  <c r="H195" i="38"/>
  <c r="H187" i="38" s="1"/>
  <c r="G195" i="38"/>
  <c r="G187" i="38" s="1"/>
  <c r="K187" i="38"/>
  <c r="E175" i="38"/>
  <c r="E174" i="38"/>
  <c r="E173" i="38"/>
  <c r="I173" i="38" s="1"/>
  <c r="L163" i="38"/>
  <c r="K163" i="38"/>
  <c r="J163" i="38"/>
  <c r="I163" i="38"/>
  <c r="H163" i="38"/>
  <c r="G163" i="38"/>
  <c r="E160" i="38"/>
  <c r="E170" i="38" s="1"/>
  <c r="E159" i="38"/>
  <c r="E169" i="38" s="1"/>
  <c r="E157" i="38"/>
  <c r="E156" i="38"/>
  <c r="J145" i="38"/>
  <c r="E145" i="38"/>
  <c r="F143" i="38"/>
  <c r="E142" i="38"/>
  <c r="J141" i="38"/>
  <c r="E141" i="38"/>
  <c r="J140" i="38"/>
  <c r="E140" i="38"/>
  <c r="E137" i="38"/>
  <c r="E265" i="38" s="1"/>
  <c r="E282" i="38" s="1"/>
  <c r="C137" i="38"/>
  <c r="L136" i="38"/>
  <c r="H136" i="38"/>
  <c r="E136" i="38"/>
  <c r="E264" i="38" s="1"/>
  <c r="E281" i="38" s="1"/>
  <c r="C136" i="38"/>
  <c r="E135" i="38"/>
  <c r="E263" i="38" s="1"/>
  <c r="E280" i="38" s="1"/>
  <c r="C135" i="38"/>
  <c r="E134" i="38"/>
  <c r="E262" i="38" s="1"/>
  <c r="E279" i="38" s="1"/>
  <c r="E133" i="38"/>
  <c r="E261" i="38" s="1"/>
  <c r="E278" i="38" s="1"/>
  <c r="C133" i="38"/>
  <c r="E132" i="38"/>
  <c r="E260" i="38" s="1"/>
  <c r="E277" i="38" s="1"/>
  <c r="C132" i="38"/>
  <c r="I128" i="38"/>
  <c r="L126" i="38"/>
  <c r="L145" i="38" s="1"/>
  <c r="K126" i="38"/>
  <c r="K145" i="38" s="1"/>
  <c r="J126" i="38"/>
  <c r="I126" i="38"/>
  <c r="I145" i="38" s="1"/>
  <c r="H126" i="38"/>
  <c r="H145" i="38" s="1"/>
  <c r="G126" i="38"/>
  <c r="L125" i="38"/>
  <c r="L142" i="38" s="1"/>
  <c r="K125" i="38"/>
  <c r="K142" i="38" s="1"/>
  <c r="J125" i="38"/>
  <c r="J142" i="38" s="1"/>
  <c r="I125" i="38"/>
  <c r="I142" i="38" s="1"/>
  <c r="H125" i="38"/>
  <c r="H142" i="38" s="1"/>
  <c r="G125" i="38"/>
  <c r="F125" i="38" s="1"/>
  <c r="F142" i="38" s="1"/>
  <c r="L124" i="38"/>
  <c r="L141" i="38" s="1"/>
  <c r="K124" i="38"/>
  <c r="K141" i="38" s="1"/>
  <c r="J124" i="38"/>
  <c r="I124" i="38"/>
  <c r="I141" i="38" s="1"/>
  <c r="H124" i="38"/>
  <c r="H141" i="38" s="1"/>
  <c r="G124" i="38"/>
  <c r="L123" i="38"/>
  <c r="L140" i="38" s="1"/>
  <c r="K123" i="38"/>
  <c r="K140" i="38" s="1"/>
  <c r="J123" i="38"/>
  <c r="I123" i="38"/>
  <c r="I140" i="38" s="1"/>
  <c r="H123" i="38"/>
  <c r="H140" i="38" s="1"/>
  <c r="G123" i="38"/>
  <c r="L120" i="38"/>
  <c r="L137" i="38" s="1"/>
  <c r="K120" i="38"/>
  <c r="K137" i="38" s="1"/>
  <c r="J120" i="38"/>
  <c r="J137" i="38" s="1"/>
  <c r="I120" i="38"/>
  <c r="I137" i="38" s="1"/>
  <c r="H120" i="38"/>
  <c r="H137" i="38" s="1"/>
  <c r="L119" i="38"/>
  <c r="K119" i="38"/>
  <c r="K136" i="38" s="1"/>
  <c r="J119" i="38"/>
  <c r="J136" i="38" s="1"/>
  <c r="I119" i="38"/>
  <c r="I136" i="38" s="1"/>
  <c r="H119" i="38"/>
  <c r="L118" i="38"/>
  <c r="L135" i="38" s="1"/>
  <c r="K118" i="38"/>
  <c r="K135" i="38" s="1"/>
  <c r="J118" i="38"/>
  <c r="J135" i="38" s="1"/>
  <c r="I118" i="38"/>
  <c r="I135" i="38" s="1"/>
  <c r="H118" i="38"/>
  <c r="H135" i="38" s="1"/>
  <c r="L117" i="38"/>
  <c r="L134" i="38" s="1"/>
  <c r="K117" i="38"/>
  <c r="K134" i="38" s="1"/>
  <c r="J117" i="38"/>
  <c r="J134" i="38" s="1"/>
  <c r="I117" i="38"/>
  <c r="I134" i="38" s="1"/>
  <c r="H117" i="38"/>
  <c r="H134" i="38" s="1"/>
  <c r="C117" i="38"/>
  <c r="C134" i="38" s="1"/>
  <c r="L116" i="38"/>
  <c r="L133" i="38" s="1"/>
  <c r="K116" i="38"/>
  <c r="K133" i="38" s="1"/>
  <c r="J116" i="38"/>
  <c r="J133" i="38" s="1"/>
  <c r="I116" i="38"/>
  <c r="I133" i="38" s="1"/>
  <c r="H116" i="38"/>
  <c r="H133" i="38" s="1"/>
  <c r="L113" i="38"/>
  <c r="K113" i="38"/>
  <c r="K128" i="38" s="1"/>
  <c r="J113" i="38"/>
  <c r="J128" i="38" s="1"/>
  <c r="J129" i="38" s="1"/>
  <c r="I113" i="38"/>
  <c r="H113" i="38"/>
  <c r="G113" i="38"/>
  <c r="G128" i="38" s="1"/>
  <c r="K112" i="38"/>
  <c r="G110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117" i="38" s="1"/>
  <c r="G117" i="38" s="1"/>
  <c r="F91" i="38"/>
  <c r="L90" i="38"/>
  <c r="K90" i="38"/>
  <c r="K115" i="38" s="1"/>
  <c r="J90" i="38"/>
  <c r="I90" i="38"/>
  <c r="H90" i="38"/>
  <c r="H89" i="38" s="1"/>
  <c r="G90" i="38"/>
  <c r="G89" i="38" s="1"/>
  <c r="G112" i="38" s="1"/>
  <c r="L89" i="38"/>
  <c r="K89" i="38"/>
  <c r="F88" i="38"/>
  <c r="F70" i="38"/>
  <c r="F69" i="38"/>
  <c r="F68" i="38"/>
  <c r="L66" i="38"/>
  <c r="L151" i="38" s="1"/>
  <c r="K66" i="38"/>
  <c r="K86" i="38" s="1"/>
  <c r="J66" i="38"/>
  <c r="J86" i="38" s="1"/>
  <c r="I66" i="38"/>
  <c r="H66" i="38"/>
  <c r="H151" i="38" s="1"/>
  <c r="G66" i="38"/>
  <c r="G86" i="38" s="1"/>
  <c r="F63" i="38"/>
  <c r="G51" i="38"/>
  <c r="F42" i="38"/>
  <c r="D42" i="38"/>
  <c r="F41" i="38"/>
  <c r="D41" i="38"/>
  <c r="D40" i="38"/>
  <c r="L35" i="38"/>
  <c r="L45" i="38" s="1"/>
  <c r="K35" i="38"/>
  <c r="K48" i="38" s="1"/>
  <c r="J35" i="38"/>
  <c r="I35" i="38"/>
  <c r="I55" i="38" s="1"/>
  <c r="H35" i="38"/>
  <c r="H48" i="38" s="1"/>
  <c r="G35" i="38"/>
  <c r="F34" i="38"/>
  <c r="C34" i="38"/>
  <c r="F33" i="38"/>
  <c r="C33" i="38"/>
  <c r="F32" i="38"/>
  <c r="C32" i="38"/>
  <c r="F31" i="38"/>
  <c r="C31" i="38"/>
  <c r="F30" i="38"/>
  <c r="C30" i="38"/>
  <c r="F29" i="38"/>
  <c r="F28" i="38"/>
  <c r="C28" i="38"/>
  <c r="F27" i="38"/>
  <c r="C27" i="38"/>
  <c r="F26" i="38"/>
  <c r="C26" i="38"/>
  <c r="F25" i="38"/>
  <c r="C25" i="38"/>
  <c r="F24" i="38"/>
  <c r="F23" i="38"/>
  <c r="C23" i="38"/>
  <c r="F22" i="38"/>
  <c r="E22" i="38"/>
  <c r="C22" i="38"/>
  <c r="F21" i="38"/>
  <c r="E21" i="38"/>
  <c r="C21" i="38"/>
  <c r="F20" i="38"/>
  <c r="E20" i="38"/>
  <c r="C20" i="38"/>
  <c r="F19" i="38"/>
  <c r="E19" i="38"/>
  <c r="C19" i="38"/>
  <c r="L18" i="38"/>
  <c r="K18" i="38"/>
  <c r="J18" i="38"/>
  <c r="I18" i="38"/>
  <c r="H18" i="38"/>
  <c r="F18" i="38" s="1"/>
  <c r="G18" i="38"/>
  <c r="E18" i="38"/>
  <c r="C18" i="38"/>
  <c r="G17" i="38"/>
  <c r="C17" i="38"/>
  <c r="F16" i="38"/>
  <c r="C16" i="38"/>
  <c r="K13" i="38"/>
  <c r="J13" i="38"/>
  <c r="I13" i="38"/>
  <c r="H13" i="38"/>
  <c r="G13" i="38"/>
  <c r="F9" i="38"/>
  <c r="G8" i="38"/>
  <c r="G210" i="38" s="1"/>
  <c r="G340" i="38" s="1"/>
  <c r="G332" i="38" s="1"/>
  <c r="Q460" i="37"/>
  <c r="Q328" i="37" s="1"/>
  <c r="P460" i="37"/>
  <c r="O460" i="37"/>
  <c r="O438" i="37" s="1"/>
  <c r="N460" i="37"/>
  <c r="N438" i="37" s="1"/>
  <c r="M460" i="37"/>
  <c r="I460" i="37"/>
  <c r="H460" i="37"/>
  <c r="G460" i="37"/>
  <c r="E459" i="37"/>
  <c r="E458" i="37"/>
  <c r="E457" i="37"/>
  <c r="D457" i="37"/>
  <c r="C457" i="37"/>
  <c r="D454" i="37"/>
  <c r="D453" i="37"/>
  <c r="D452" i="37"/>
  <c r="C447" i="37"/>
  <c r="H438" i="37"/>
  <c r="G438" i="37"/>
  <c r="E430" i="37"/>
  <c r="D430" i="37"/>
  <c r="F429" i="37"/>
  <c r="Q428" i="37"/>
  <c r="P428" i="37"/>
  <c r="P323" i="37" s="1"/>
  <c r="O428" i="37"/>
  <c r="M428" i="37"/>
  <c r="H428" i="37"/>
  <c r="E427" i="37"/>
  <c r="D427" i="37"/>
  <c r="E426" i="37"/>
  <c r="D426" i="37"/>
  <c r="E425" i="37"/>
  <c r="D425" i="37"/>
  <c r="E424" i="37"/>
  <c r="D424" i="37"/>
  <c r="E421" i="37"/>
  <c r="D421" i="37"/>
  <c r="E420" i="37"/>
  <c r="D420" i="37"/>
  <c r="E419" i="37"/>
  <c r="D419" i="37"/>
  <c r="D418" i="37"/>
  <c r="D417" i="37"/>
  <c r="D416" i="37"/>
  <c r="D414" i="37"/>
  <c r="E389" i="37"/>
  <c r="D389" i="37"/>
  <c r="E388" i="37"/>
  <c r="D388" i="37"/>
  <c r="E387" i="37"/>
  <c r="D387" i="37"/>
  <c r="E386" i="37"/>
  <c r="D386" i="37"/>
  <c r="E385" i="37"/>
  <c r="D385" i="37"/>
  <c r="E382" i="37"/>
  <c r="D382" i="37"/>
  <c r="E381" i="37"/>
  <c r="D381" i="37"/>
  <c r="E380" i="37"/>
  <c r="D380" i="37"/>
  <c r="D377" i="37"/>
  <c r="D375" i="37"/>
  <c r="Q352" i="37"/>
  <c r="Q447" i="37" s="1"/>
  <c r="Q457" i="37" s="1"/>
  <c r="P352" i="37"/>
  <c r="P447" i="37" s="1"/>
  <c r="O352" i="37"/>
  <c r="O447" i="37" s="1"/>
  <c r="O457" i="37" s="1"/>
  <c r="N352" i="37"/>
  <c r="N447" i="37" s="1"/>
  <c r="N457" i="37" s="1"/>
  <c r="M352" i="37"/>
  <c r="M447" i="37" s="1"/>
  <c r="M457" i="37" s="1"/>
  <c r="I352" i="37"/>
  <c r="I447" i="37" s="1"/>
  <c r="H352" i="37"/>
  <c r="H447" i="37" s="1"/>
  <c r="H457" i="37" s="1"/>
  <c r="H327" i="37" s="1"/>
  <c r="G352" i="37"/>
  <c r="G447" i="37" s="1"/>
  <c r="G310" i="37" s="1"/>
  <c r="Q351" i="37"/>
  <c r="Q317" i="37" s="1"/>
  <c r="P351" i="37"/>
  <c r="P317" i="37" s="1"/>
  <c r="O351" i="37"/>
  <c r="O317" i="37" s="1"/>
  <c r="N351" i="37"/>
  <c r="N317" i="37" s="1"/>
  <c r="M351" i="37"/>
  <c r="I351" i="37"/>
  <c r="H351" i="37"/>
  <c r="H317" i="37" s="1"/>
  <c r="Q350" i="37"/>
  <c r="Q311" i="37" s="1"/>
  <c r="P350" i="37"/>
  <c r="O350" i="37"/>
  <c r="O311" i="37" s="1"/>
  <c r="M350" i="37"/>
  <c r="M311" i="37" s="1"/>
  <c r="I350" i="37"/>
  <c r="H350" i="37"/>
  <c r="H311" i="37" s="1"/>
  <c r="Q349" i="37"/>
  <c r="P349" i="37"/>
  <c r="O349" i="37"/>
  <c r="N349" i="37"/>
  <c r="M349" i="37"/>
  <c r="I349" i="37"/>
  <c r="H349" i="37"/>
  <c r="G349" i="37"/>
  <c r="Q346" i="37"/>
  <c r="P346" i="37"/>
  <c r="O346" i="37"/>
  <c r="N346" i="37"/>
  <c r="M346" i="37"/>
  <c r="I346" i="37"/>
  <c r="H346" i="37"/>
  <c r="G346" i="37"/>
  <c r="Q345" i="37"/>
  <c r="P345" i="37"/>
  <c r="O345" i="37"/>
  <c r="N345" i="37"/>
  <c r="M345" i="37"/>
  <c r="I345" i="37"/>
  <c r="H345" i="37"/>
  <c r="G345" i="37"/>
  <c r="Q344" i="37"/>
  <c r="P344" i="37"/>
  <c r="O344" i="37"/>
  <c r="N344" i="37"/>
  <c r="M344" i="37"/>
  <c r="I344" i="37"/>
  <c r="H344" i="37"/>
  <c r="G344" i="37"/>
  <c r="Q343" i="37"/>
  <c r="P343" i="37"/>
  <c r="O343" i="37"/>
  <c r="N343" i="37"/>
  <c r="M343" i="37"/>
  <c r="I343" i="37"/>
  <c r="H343" i="37"/>
  <c r="G343" i="37"/>
  <c r="Q342" i="37"/>
  <c r="P342" i="37"/>
  <c r="O342" i="37"/>
  <c r="N342" i="37"/>
  <c r="M342" i="37"/>
  <c r="I342" i="37"/>
  <c r="H342" i="37"/>
  <c r="G342" i="37"/>
  <c r="F342" i="37" s="1"/>
  <c r="Q341" i="37"/>
  <c r="P341" i="37"/>
  <c r="O341" i="37"/>
  <c r="N341" i="37"/>
  <c r="M341" i="37"/>
  <c r="I341" i="37"/>
  <c r="H341" i="37"/>
  <c r="G341" i="37"/>
  <c r="Q340" i="37"/>
  <c r="P340" i="37"/>
  <c r="O340" i="37"/>
  <c r="N340" i="37"/>
  <c r="M340" i="37"/>
  <c r="I340" i="37"/>
  <c r="H340" i="37"/>
  <c r="G340" i="37"/>
  <c r="Q339" i="37"/>
  <c r="P339" i="37"/>
  <c r="O339" i="37"/>
  <c r="N339" i="37"/>
  <c r="M339" i="37"/>
  <c r="I339" i="37"/>
  <c r="H339" i="37"/>
  <c r="G339" i="37"/>
  <c r="Q338" i="37"/>
  <c r="P338" i="37"/>
  <c r="O338" i="37"/>
  <c r="N338" i="37"/>
  <c r="M338" i="37"/>
  <c r="I338" i="37"/>
  <c r="H338" i="37"/>
  <c r="G338" i="37"/>
  <c r="Q337" i="37"/>
  <c r="P337" i="37"/>
  <c r="O337" i="37"/>
  <c r="N337" i="37"/>
  <c r="M337" i="37"/>
  <c r="I337" i="37"/>
  <c r="H337" i="37"/>
  <c r="G337" i="37"/>
  <c r="Q336" i="37"/>
  <c r="P336" i="37"/>
  <c r="O336" i="37"/>
  <c r="N336" i="37"/>
  <c r="M336" i="37"/>
  <c r="I336" i="37"/>
  <c r="H336" i="37"/>
  <c r="G336" i="37"/>
  <c r="Q335" i="37"/>
  <c r="P335" i="37"/>
  <c r="O335" i="37"/>
  <c r="N335" i="37"/>
  <c r="M335" i="37"/>
  <c r="I335" i="37"/>
  <c r="H335" i="37"/>
  <c r="G335" i="37"/>
  <c r="P328" i="37"/>
  <c r="O328" i="37"/>
  <c r="N328" i="37"/>
  <c r="M328" i="37"/>
  <c r="I328" i="37"/>
  <c r="H328" i="37"/>
  <c r="G328" i="37"/>
  <c r="Q327" i="37"/>
  <c r="O327" i="37"/>
  <c r="N327" i="37"/>
  <c r="M327" i="37"/>
  <c r="Q323" i="37"/>
  <c r="O323" i="37"/>
  <c r="M323" i="37"/>
  <c r="H323" i="37"/>
  <c r="M317" i="37"/>
  <c r="Q316" i="37"/>
  <c r="P316" i="37"/>
  <c r="O316" i="37"/>
  <c r="N316" i="37"/>
  <c r="M316" i="37"/>
  <c r="I316" i="37"/>
  <c r="H316" i="37"/>
  <c r="G316" i="37"/>
  <c r="Q315" i="37"/>
  <c r="P315" i="37"/>
  <c r="O315" i="37"/>
  <c r="N315" i="37"/>
  <c r="M315" i="37"/>
  <c r="I315" i="37"/>
  <c r="H315" i="37"/>
  <c r="G315" i="37"/>
  <c r="Q314" i="37"/>
  <c r="P314" i="37"/>
  <c r="O314" i="37"/>
  <c r="N314" i="37"/>
  <c r="M314" i="37"/>
  <c r="I314" i="37"/>
  <c r="H314" i="37"/>
  <c r="P311" i="37"/>
  <c r="I311" i="37"/>
  <c r="Q310" i="37"/>
  <c r="N310" i="37"/>
  <c r="M310" i="37"/>
  <c r="Q308" i="37"/>
  <c r="P308" i="37"/>
  <c r="O308" i="37"/>
  <c r="M308" i="37"/>
  <c r="I308" i="37"/>
  <c r="H308" i="37"/>
  <c r="E303" i="37"/>
  <c r="E441" i="37" s="1"/>
  <c r="E444" i="37" s="1"/>
  <c r="E454" i="37" s="1"/>
  <c r="E302" i="37"/>
  <c r="E440" i="37" s="1"/>
  <c r="Q301" i="37"/>
  <c r="P301" i="37"/>
  <c r="O301" i="37"/>
  <c r="N301" i="37"/>
  <c r="M301" i="37"/>
  <c r="I301" i="37"/>
  <c r="H301" i="37"/>
  <c r="G301" i="37"/>
  <c r="Q284" i="37"/>
  <c r="Q276" i="37" s="1"/>
  <c r="P284" i="37"/>
  <c r="P276" i="37" s="1"/>
  <c r="O284" i="37"/>
  <c r="N284" i="37"/>
  <c r="N276" i="37" s="1"/>
  <c r="M284" i="37"/>
  <c r="M276" i="37" s="1"/>
  <c r="I284" i="37"/>
  <c r="H284" i="37"/>
  <c r="H276" i="37" s="1"/>
  <c r="G284" i="37"/>
  <c r="G276" i="37" s="1"/>
  <c r="O276" i="37"/>
  <c r="I276" i="37"/>
  <c r="Q267" i="37"/>
  <c r="P267" i="37"/>
  <c r="O267" i="37"/>
  <c r="N267" i="37"/>
  <c r="M267" i="37"/>
  <c r="I267" i="37"/>
  <c r="H267" i="37"/>
  <c r="G267" i="37"/>
  <c r="Q258" i="37"/>
  <c r="P258" i="37"/>
  <c r="O258" i="37"/>
  <c r="N258" i="37"/>
  <c r="M258" i="37"/>
  <c r="I258" i="37"/>
  <c r="H258" i="37"/>
  <c r="G258" i="37"/>
  <c r="F245" i="37"/>
  <c r="E244" i="37"/>
  <c r="E243" i="37"/>
  <c r="E242" i="37"/>
  <c r="D242" i="37"/>
  <c r="C242" i="37"/>
  <c r="D239" i="37"/>
  <c r="D238" i="37"/>
  <c r="D237" i="37"/>
  <c r="Q232" i="37"/>
  <c r="Q242" i="37" s="1"/>
  <c r="Q111" i="37" s="1"/>
  <c r="P232" i="37"/>
  <c r="P242" i="37" s="1"/>
  <c r="P111" i="37" s="1"/>
  <c r="O232" i="37"/>
  <c r="O242" i="37" s="1"/>
  <c r="N232" i="37"/>
  <c r="N242" i="37" s="1"/>
  <c r="M232" i="37"/>
  <c r="M242" i="37" s="1"/>
  <c r="M111" i="37" s="1"/>
  <c r="I232" i="37"/>
  <c r="I242" i="37" s="1"/>
  <c r="H232" i="37"/>
  <c r="H242" i="37" s="1"/>
  <c r="G232" i="37"/>
  <c r="C232" i="37"/>
  <c r="E229" i="37"/>
  <c r="E239" i="37" s="1"/>
  <c r="E226" i="37"/>
  <c r="E225" i="37"/>
  <c r="Q223" i="37"/>
  <c r="P223" i="37"/>
  <c r="O223" i="37"/>
  <c r="N223" i="37"/>
  <c r="M223" i="37"/>
  <c r="I223" i="37"/>
  <c r="H223" i="37"/>
  <c r="G223" i="37"/>
  <c r="Q220" i="37"/>
  <c r="P220" i="37"/>
  <c r="O220" i="37"/>
  <c r="N220" i="37"/>
  <c r="M220" i="37"/>
  <c r="I220" i="37"/>
  <c r="H220" i="37"/>
  <c r="G220" i="37"/>
  <c r="E214" i="37"/>
  <c r="K214" i="37" s="1"/>
  <c r="D214" i="37"/>
  <c r="F213" i="37"/>
  <c r="F212" i="37"/>
  <c r="E211" i="37"/>
  <c r="D211" i="37"/>
  <c r="E210" i="37"/>
  <c r="D210" i="37"/>
  <c r="E209" i="37"/>
  <c r="D209" i="37"/>
  <c r="E208" i="37"/>
  <c r="D208" i="37"/>
  <c r="E205" i="37"/>
  <c r="D205" i="37"/>
  <c r="E204" i="37"/>
  <c r="D204" i="37"/>
  <c r="E203" i="37"/>
  <c r="D203" i="37"/>
  <c r="D202" i="37"/>
  <c r="D201" i="37"/>
  <c r="D200" i="37"/>
  <c r="D198" i="37"/>
  <c r="Q178" i="37"/>
  <c r="P178" i="37"/>
  <c r="O178" i="37"/>
  <c r="N178" i="37"/>
  <c r="M178" i="37"/>
  <c r="I178" i="37"/>
  <c r="H178" i="37"/>
  <c r="G178" i="37"/>
  <c r="E173" i="37"/>
  <c r="J173" i="37" s="1"/>
  <c r="D173" i="37"/>
  <c r="E172" i="37"/>
  <c r="D172" i="37"/>
  <c r="E171" i="37"/>
  <c r="L171" i="37" s="1"/>
  <c r="L192" i="37" s="1"/>
  <c r="D171" i="37"/>
  <c r="E170" i="37"/>
  <c r="D170" i="37"/>
  <c r="E169" i="37"/>
  <c r="J169" i="37" s="1"/>
  <c r="J190" i="37" s="1"/>
  <c r="D169" i="37"/>
  <c r="E166" i="37"/>
  <c r="J166" i="37" s="1"/>
  <c r="J187" i="37" s="1"/>
  <c r="J205" i="37" s="1"/>
  <c r="D166" i="37"/>
  <c r="E165" i="37"/>
  <c r="L165" i="37" s="1"/>
  <c r="L186" i="37" s="1"/>
  <c r="L204" i="37" s="1"/>
  <c r="D165" i="37"/>
  <c r="E164" i="37"/>
  <c r="K164" i="37" s="1"/>
  <c r="K185" i="37" s="1"/>
  <c r="K203" i="37" s="1"/>
  <c r="D164" i="37"/>
  <c r="D161" i="37"/>
  <c r="D159" i="37"/>
  <c r="Q155" i="37"/>
  <c r="Q173" i="37" s="1"/>
  <c r="P155" i="37"/>
  <c r="P173" i="37" s="1"/>
  <c r="O155" i="37"/>
  <c r="O173" i="37" s="1"/>
  <c r="N155" i="37"/>
  <c r="M155" i="37"/>
  <c r="I155" i="37"/>
  <c r="H155" i="37"/>
  <c r="G155" i="37"/>
  <c r="Q154" i="37"/>
  <c r="P154" i="37"/>
  <c r="O154" i="37"/>
  <c r="N154" i="37"/>
  <c r="M154" i="37"/>
  <c r="I154" i="37"/>
  <c r="H154" i="37"/>
  <c r="G154" i="37"/>
  <c r="Q153" i="37"/>
  <c r="P153" i="37"/>
  <c r="O153" i="37"/>
  <c r="N153" i="37"/>
  <c r="N171" i="37" s="1"/>
  <c r="N192" i="37" s="1"/>
  <c r="N210" i="37" s="1"/>
  <c r="M153" i="37"/>
  <c r="M171" i="37" s="1"/>
  <c r="M192" i="37" s="1"/>
  <c r="M210" i="37" s="1"/>
  <c r="I153" i="37"/>
  <c r="I171" i="37" s="1"/>
  <c r="I192" i="37" s="1"/>
  <c r="I210" i="37" s="1"/>
  <c r="H153" i="37"/>
  <c r="H171" i="37" s="1"/>
  <c r="H192" i="37" s="1"/>
  <c r="H210" i="37" s="1"/>
  <c r="G153" i="37"/>
  <c r="Q152" i="37"/>
  <c r="P152" i="37"/>
  <c r="O152" i="37"/>
  <c r="N152" i="37"/>
  <c r="M152" i="37"/>
  <c r="I152" i="37"/>
  <c r="H152" i="37"/>
  <c r="G152" i="37"/>
  <c r="Q151" i="37"/>
  <c r="P151" i="37"/>
  <c r="P169" i="37" s="1"/>
  <c r="P190" i="37" s="1"/>
  <c r="O151" i="37"/>
  <c r="N151" i="37"/>
  <c r="N169" i="37" s="1"/>
  <c r="N190" i="37" s="1"/>
  <c r="M151" i="37"/>
  <c r="I151" i="37"/>
  <c r="I169" i="37" s="1"/>
  <c r="I190" i="37" s="1"/>
  <c r="H151" i="37"/>
  <c r="G151" i="37"/>
  <c r="G169" i="37" s="1"/>
  <c r="G190" i="37" s="1"/>
  <c r="Q148" i="37"/>
  <c r="Q166" i="37" s="1"/>
  <c r="Q187" i="37" s="1"/>
  <c r="Q205" i="37" s="1"/>
  <c r="P148" i="37"/>
  <c r="O148" i="37"/>
  <c r="O166" i="37" s="1"/>
  <c r="O187" i="37" s="1"/>
  <c r="O205" i="37" s="1"/>
  <c r="N148" i="37"/>
  <c r="N166" i="37" s="1"/>
  <c r="N187" i="37" s="1"/>
  <c r="M148" i="37"/>
  <c r="I148" i="37"/>
  <c r="H148" i="37"/>
  <c r="H166" i="37" s="1"/>
  <c r="H187" i="37" s="1"/>
  <c r="H205" i="37" s="1"/>
  <c r="G148" i="37"/>
  <c r="Q147" i="37"/>
  <c r="P147" i="37"/>
  <c r="P165" i="37" s="1"/>
  <c r="P186" i="37" s="1"/>
  <c r="P204" i="37" s="1"/>
  <c r="O147" i="37"/>
  <c r="O165" i="37" s="1"/>
  <c r="O186" i="37" s="1"/>
  <c r="O204" i="37" s="1"/>
  <c r="N147" i="37"/>
  <c r="M147" i="37"/>
  <c r="I147" i="37"/>
  <c r="I165" i="37" s="1"/>
  <c r="I186" i="37" s="1"/>
  <c r="I204" i="37" s="1"/>
  <c r="H147" i="37"/>
  <c r="G147" i="37"/>
  <c r="Q146" i="37"/>
  <c r="P146" i="37"/>
  <c r="O146" i="37"/>
  <c r="O164" i="37" s="1"/>
  <c r="O185" i="37" s="1"/>
  <c r="N146" i="37"/>
  <c r="N164" i="37" s="1"/>
  <c r="N185" i="37" s="1"/>
  <c r="M146" i="37"/>
  <c r="M164" i="37" s="1"/>
  <c r="M185" i="37" s="1"/>
  <c r="I146" i="37"/>
  <c r="H146" i="37"/>
  <c r="H164" i="37" s="1"/>
  <c r="H185" i="37" s="1"/>
  <c r="G146" i="37"/>
  <c r="G164" i="37" s="1"/>
  <c r="G185" i="37" s="1"/>
  <c r="Q145" i="37"/>
  <c r="P145" i="37"/>
  <c r="O145" i="37"/>
  <c r="N145" i="37"/>
  <c r="M145" i="37"/>
  <c r="I145" i="37"/>
  <c r="H145" i="37"/>
  <c r="G145" i="37"/>
  <c r="Q144" i="37"/>
  <c r="P144" i="37"/>
  <c r="O144" i="37"/>
  <c r="N144" i="37"/>
  <c r="M144" i="37"/>
  <c r="I144" i="37"/>
  <c r="H144" i="37"/>
  <c r="G144" i="37"/>
  <c r="Q139" i="37"/>
  <c r="P139" i="37"/>
  <c r="O139" i="37"/>
  <c r="N139" i="37"/>
  <c r="M139" i="37"/>
  <c r="I139" i="37"/>
  <c r="H139" i="37"/>
  <c r="G139" i="37"/>
  <c r="F136" i="37"/>
  <c r="F135" i="37"/>
  <c r="F134" i="37"/>
  <c r="F133" i="37"/>
  <c r="Q132" i="37"/>
  <c r="P132" i="37"/>
  <c r="O132" i="37"/>
  <c r="N132" i="37"/>
  <c r="M132" i="37"/>
  <c r="I132" i="37"/>
  <c r="H132" i="37"/>
  <c r="G132" i="37"/>
  <c r="F132" i="37"/>
  <c r="Q131" i="37"/>
  <c r="P131" i="37"/>
  <c r="P194" i="37" s="1"/>
  <c r="P214" i="37" s="1"/>
  <c r="O131" i="37"/>
  <c r="N131" i="37"/>
  <c r="M131" i="37"/>
  <c r="I131" i="37"/>
  <c r="I194" i="37" s="1"/>
  <c r="I214" i="37" s="1"/>
  <c r="H131" i="37"/>
  <c r="G131" i="37"/>
  <c r="F130" i="37"/>
  <c r="F129" i="37"/>
  <c r="F128" i="37"/>
  <c r="F127" i="37"/>
  <c r="F126" i="37"/>
  <c r="F123" i="37"/>
  <c r="F122" i="37"/>
  <c r="F121" i="37"/>
  <c r="F120" i="37"/>
  <c r="F119" i="37"/>
  <c r="Q118" i="37"/>
  <c r="P118" i="37"/>
  <c r="P143" i="37" s="1"/>
  <c r="O118" i="37"/>
  <c r="N118" i="37"/>
  <c r="N143" i="37" s="1"/>
  <c r="N160" i="37" s="1"/>
  <c r="N163" i="37" s="1"/>
  <c r="N184" i="37" s="1"/>
  <c r="M118" i="37"/>
  <c r="I118" i="37"/>
  <c r="I143" i="37" s="1"/>
  <c r="H118" i="37"/>
  <c r="G118" i="37"/>
  <c r="Q117" i="37"/>
  <c r="Q142" i="37" s="1"/>
  <c r="P117" i="37"/>
  <c r="P142" i="37" s="1"/>
  <c r="O117" i="37"/>
  <c r="O142" i="37" s="1"/>
  <c r="O158" i="37" s="1"/>
  <c r="O162" i="37" s="1"/>
  <c r="O183" i="37" s="1"/>
  <c r="N117" i="37"/>
  <c r="M117" i="37"/>
  <c r="M142" i="37" s="1"/>
  <c r="I117" i="37"/>
  <c r="I142" i="37" s="1"/>
  <c r="H117" i="37"/>
  <c r="H142" i="37" s="1"/>
  <c r="H158" i="37" s="1"/>
  <c r="H162" i="37" s="1"/>
  <c r="H183" i="37" s="1"/>
  <c r="G117" i="37"/>
  <c r="G333" i="37" s="1"/>
  <c r="Q115" i="37"/>
  <c r="P115" i="37"/>
  <c r="O115" i="37"/>
  <c r="N115" i="37"/>
  <c r="M115" i="37"/>
  <c r="I115" i="37"/>
  <c r="H115" i="37"/>
  <c r="G115" i="37"/>
  <c r="Q112" i="37"/>
  <c r="P112" i="37"/>
  <c r="O112" i="37"/>
  <c r="N112" i="37"/>
  <c r="M112" i="37"/>
  <c r="I112" i="37"/>
  <c r="H112" i="37"/>
  <c r="G112" i="37"/>
  <c r="O111" i="37"/>
  <c r="N111" i="37"/>
  <c r="I111" i="37"/>
  <c r="H111" i="37"/>
  <c r="Q107" i="37"/>
  <c r="P107" i="37"/>
  <c r="O107" i="37"/>
  <c r="N107" i="37"/>
  <c r="M107" i="37"/>
  <c r="I107" i="37"/>
  <c r="H107" i="37"/>
  <c r="G107" i="37"/>
  <c r="Q101" i="37"/>
  <c r="P101" i="37"/>
  <c r="O101" i="37"/>
  <c r="N101" i="37"/>
  <c r="M101" i="37"/>
  <c r="I101" i="37"/>
  <c r="H101" i="37"/>
  <c r="G101" i="37"/>
  <c r="F100" i="37"/>
  <c r="F99" i="37"/>
  <c r="F98" i="37"/>
  <c r="Q95" i="37"/>
  <c r="P95" i="37"/>
  <c r="O95" i="37"/>
  <c r="N95" i="37"/>
  <c r="M95" i="37"/>
  <c r="I95" i="37"/>
  <c r="H95" i="37"/>
  <c r="G95" i="37"/>
  <c r="Q94" i="37"/>
  <c r="O94" i="37"/>
  <c r="N94" i="37"/>
  <c r="M94" i="37"/>
  <c r="H94" i="37"/>
  <c r="G94" i="37"/>
  <c r="F92" i="37"/>
  <c r="C83" i="37"/>
  <c r="F82" i="37"/>
  <c r="F298" i="37" s="1"/>
  <c r="F45" i="37"/>
  <c r="F42" i="37"/>
  <c r="Q41" i="37"/>
  <c r="P41" i="37"/>
  <c r="O41" i="37"/>
  <c r="N41" i="37"/>
  <c r="M41" i="37"/>
  <c r="I41" i="37"/>
  <c r="H41" i="37"/>
  <c r="G41" i="37"/>
  <c r="Q40" i="37"/>
  <c r="P40" i="37"/>
  <c r="O40" i="37"/>
  <c r="N40" i="37"/>
  <c r="M40" i="37"/>
  <c r="I40" i="37"/>
  <c r="H40" i="37"/>
  <c r="G40" i="37"/>
  <c r="F40" i="37" s="1"/>
  <c r="F39" i="37"/>
  <c r="F38" i="37"/>
  <c r="F37" i="37"/>
  <c r="F36" i="37"/>
  <c r="F35" i="37"/>
  <c r="F32" i="37"/>
  <c r="F31" i="37"/>
  <c r="F30" i="37"/>
  <c r="F29" i="37"/>
  <c r="F28" i="37"/>
  <c r="F24" i="37"/>
  <c r="F23" i="37"/>
  <c r="Q18" i="37"/>
  <c r="P18" i="37"/>
  <c r="O18" i="37"/>
  <c r="M18" i="37"/>
  <c r="I18" i="37"/>
  <c r="H18" i="37"/>
  <c r="Q12" i="37"/>
  <c r="Q306" i="37" s="1"/>
  <c r="P12" i="37"/>
  <c r="P306" i="37" s="1"/>
  <c r="O12" i="37"/>
  <c r="O306" i="37" s="1"/>
  <c r="N12" i="37"/>
  <c r="N306" i="37" s="1"/>
  <c r="M12" i="37"/>
  <c r="M306" i="37" s="1"/>
  <c r="I12" i="37"/>
  <c r="I306" i="37" s="1"/>
  <c r="H12" i="37"/>
  <c r="H306" i="37" s="1"/>
  <c r="G12" i="37"/>
  <c r="G306" i="37" s="1"/>
  <c r="Q11" i="37"/>
  <c r="Q305" i="37" s="1"/>
  <c r="P11" i="37"/>
  <c r="P305" i="37" s="1"/>
  <c r="O11" i="37"/>
  <c r="O305" i="37" s="1"/>
  <c r="N11" i="37"/>
  <c r="N305" i="37" s="1"/>
  <c r="M11" i="37"/>
  <c r="M305" i="37" s="1"/>
  <c r="I11" i="37"/>
  <c r="I305" i="37" s="1"/>
  <c r="H11" i="37"/>
  <c r="H305" i="37" s="1"/>
  <c r="G11" i="37"/>
  <c r="G305" i="37" s="1"/>
  <c r="Q10" i="37"/>
  <c r="Q304" i="37" s="1"/>
  <c r="P10" i="37"/>
  <c r="P304" i="37" s="1"/>
  <c r="O10" i="37"/>
  <c r="O304" i="37" s="1"/>
  <c r="N10" i="37"/>
  <c r="N304" i="37" s="1"/>
  <c r="M10" i="37"/>
  <c r="M304" i="37" s="1"/>
  <c r="I10" i="37"/>
  <c r="I304" i="37" s="1"/>
  <c r="H10" i="37"/>
  <c r="H304" i="37" s="1"/>
  <c r="G10" i="37"/>
  <c r="G304" i="37" s="1"/>
  <c r="Q9" i="37"/>
  <c r="Q27" i="37" s="1"/>
  <c r="P9" i="37"/>
  <c r="P26" i="37" s="1"/>
  <c r="P333" i="37" s="1"/>
  <c r="O9" i="37"/>
  <c r="O27" i="37" s="1"/>
  <c r="N9" i="37"/>
  <c r="M9" i="37"/>
  <c r="M27" i="37" s="1"/>
  <c r="I9" i="37"/>
  <c r="I26" i="37" s="1"/>
  <c r="H9" i="37"/>
  <c r="H27" i="37" s="1"/>
  <c r="G9" i="37"/>
  <c r="Q8" i="37"/>
  <c r="Q300" i="37" s="1"/>
  <c r="P300" i="37"/>
  <c r="N8" i="37"/>
  <c r="N300" i="37" s="1"/>
  <c r="M8" i="37"/>
  <c r="M300" i="37" s="1"/>
  <c r="I8" i="37"/>
  <c r="I300" i="37" s="1"/>
  <c r="H8" i="37"/>
  <c r="H300" i="37" s="1"/>
  <c r="G8" i="37"/>
  <c r="G300" i="37" s="1"/>
  <c r="G499" i="37" s="1"/>
  <c r="G491" i="37" s="1"/>
  <c r="Q3" i="37"/>
  <c r="Q302" i="37" s="1"/>
  <c r="P302" i="37"/>
  <c r="O302" i="37"/>
  <c r="O355" i="37" s="1"/>
  <c r="N302" i="37"/>
  <c r="M302" i="37"/>
  <c r="M435" i="37" s="1"/>
  <c r="I302" i="37"/>
  <c r="H302" i="37"/>
  <c r="G302" i="37"/>
  <c r="K60" i="39" l="1"/>
  <c r="J273" i="38"/>
  <c r="J274" i="38" s="1"/>
  <c r="M60" i="39"/>
  <c r="M358" i="40"/>
  <c r="M357" i="40"/>
  <c r="G142" i="38"/>
  <c r="K58" i="37"/>
  <c r="J40" i="38"/>
  <c r="F107" i="37"/>
  <c r="N165" i="37"/>
  <c r="N186" i="37" s="1"/>
  <c r="N204" i="37" s="1"/>
  <c r="F315" i="37"/>
  <c r="L17" i="38"/>
  <c r="I48" i="38"/>
  <c r="F51" i="39"/>
  <c r="H364" i="39"/>
  <c r="N419" i="39"/>
  <c r="L380" i="37"/>
  <c r="L401" i="37" s="1"/>
  <c r="J208" i="37"/>
  <c r="L48" i="38"/>
  <c r="F214" i="38"/>
  <c r="G336" i="39"/>
  <c r="F122" i="39"/>
  <c r="L154" i="39"/>
  <c r="F348" i="41"/>
  <c r="J410" i="41"/>
  <c r="J430" i="41" s="1"/>
  <c r="J58" i="41" s="1"/>
  <c r="J151" i="38"/>
  <c r="H336" i="39"/>
  <c r="H394" i="39" s="1"/>
  <c r="H161" i="39"/>
  <c r="N151" i="39"/>
  <c r="M154" i="39"/>
  <c r="H60" i="39"/>
  <c r="L410" i="40"/>
  <c r="L430" i="40" s="1"/>
  <c r="L58" i="40" s="1"/>
  <c r="J214" i="37"/>
  <c r="Q165" i="37"/>
  <c r="Q186" i="37" s="1"/>
  <c r="Q204" i="37" s="1"/>
  <c r="K170" i="37"/>
  <c r="K191" i="37" s="1"/>
  <c r="K209" i="37" s="1"/>
  <c r="H55" i="38"/>
  <c r="F239" i="38"/>
  <c r="H152" i="39"/>
  <c r="N154" i="39"/>
  <c r="F353" i="39"/>
  <c r="G166" i="37"/>
  <c r="G187" i="37" s="1"/>
  <c r="G173" i="37"/>
  <c r="F346" i="37"/>
  <c r="K55" i="38"/>
  <c r="F126" i="38"/>
  <c r="F145" i="38" s="1"/>
  <c r="K271" i="38"/>
  <c r="K290" i="38" s="1"/>
  <c r="L161" i="39"/>
  <c r="I152" i="39"/>
  <c r="N207" i="39"/>
  <c r="H173" i="37"/>
  <c r="L210" i="37"/>
  <c r="F336" i="37"/>
  <c r="L55" i="38"/>
  <c r="F123" i="38"/>
  <c r="F140" i="38" s="1"/>
  <c r="G140" i="38" s="1"/>
  <c r="F236" i="38"/>
  <c r="F252" i="38"/>
  <c r="N148" i="39"/>
  <c r="N161" i="39" s="1"/>
  <c r="I173" i="37"/>
  <c r="L60" i="39"/>
  <c r="F311" i="39"/>
  <c r="F406" i="39"/>
  <c r="F426" i="39" s="1"/>
  <c r="G426" i="39" s="1"/>
  <c r="L166" i="37"/>
  <c r="L187" i="37" s="1"/>
  <c r="L205" i="37" s="1"/>
  <c r="M166" i="37"/>
  <c r="M187" i="37" s="1"/>
  <c r="M205" i="37" s="1"/>
  <c r="M173" i="37"/>
  <c r="J172" i="37"/>
  <c r="J193" i="37" s="1"/>
  <c r="J211" i="37" s="1"/>
  <c r="K110" i="38"/>
  <c r="F163" i="38"/>
  <c r="F246" i="38"/>
  <c r="H271" i="38"/>
  <c r="H290" i="38" s="1"/>
  <c r="I149" i="39"/>
  <c r="I163" i="39" s="1"/>
  <c r="J208" i="39"/>
  <c r="K161" i="37"/>
  <c r="K182" i="37" s="1"/>
  <c r="K173" i="37"/>
  <c r="K165" i="37"/>
  <c r="K186" i="37" s="1"/>
  <c r="K204" i="37" s="1"/>
  <c r="N205" i="37"/>
  <c r="N173" i="37"/>
  <c r="F316" i="37"/>
  <c r="F344" i="37"/>
  <c r="F243" i="38"/>
  <c r="G308" i="38"/>
  <c r="F307" i="39"/>
  <c r="J381" i="37"/>
  <c r="J402" i="37" s="1"/>
  <c r="J420" i="37" s="1"/>
  <c r="K382" i="37"/>
  <c r="K403" i="37" s="1"/>
  <c r="K421" i="37" s="1"/>
  <c r="F237" i="38"/>
  <c r="L271" i="38"/>
  <c r="L290" i="38" s="1"/>
  <c r="F427" i="39"/>
  <c r="M93" i="41"/>
  <c r="J380" i="37"/>
  <c r="J401" i="37" s="1"/>
  <c r="K381" i="37"/>
  <c r="K402" i="37" s="1"/>
  <c r="K420" i="37" s="1"/>
  <c r="K166" i="37"/>
  <c r="K187" i="37" s="1"/>
  <c r="K205" i="37" s="1"/>
  <c r="F136" i="38"/>
  <c r="I58" i="41"/>
  <c r="J165" i="37"/>
  <c r="J186" i="37" s="1"/>
  <c r="J204" i="37" s="1"/>
  <c r="L214" i="37"/>
  <c r="H348" i="37"/>
  <c r="O171" i="37"/>
  <c r="O192" i="37" s="1"/>
  <c r="O210" i="37" s="1"/>
  <c r="H335" i="39"/>
  <c r="K164" i="39"/>
  <c r="K153" i="39"/>
  <c r="M169" i="39"/>
  <c r="H205" i="39"/>
  <c r="K380" i="37"/>
  <c r="K401" i="37" s="1"/>
  <c r="I208" i="37"/>
  <c r="P171" i="37"/>
  <c r="P192" i="37" s="1"/>
  <c r="P210" i="37" s="1"/>
  <c r="F119" i="38"/>
  <c r="I335" i="39"/>
  <c r="L164" i="39"/>
  <c r="L153" i="39"/>
  <c r="G169" i="39"/>
  <c r="F340" i="39"/>
  <c r="K382" i="39"/>
  <c r="J385" i="37"/>
  <c r="J406" i="37" s="1"/>
  <c r="J424" i="37" s="1"/>
  <c r="J164" i="37"/>
  <c r="J185" i="37" s="1"/>
  <c r="J203" i="37" s="1"/>
  <c r="Q164" i="37"/>
  <c r="Q185" i="37" s="1"/>
  <c r="Q171" i="37"/>
  <c r="Q192" i="37" s="1"/>
  <c r="Q210" i="37" s="1"/>
  <c r="M150" i="39"/>
  <c r="M164" i="39" s="1"/>
  <c r="M153" i="39"/>
  <c r="J169" i="39"/>
  <c r="N410" i="40"/>
  <c r="N430" i="40" s="1"/>
  <c r="N58" i="40" s="1"/>
  <c r="N208" i="37"/>
  <c r="N367" i="37"/>
  <c r="N385" i="37" s="1"/>
  <c r="F345" i="37"/>
  <c r="H45" i="38"/>
  <c r="H86" i="38"/>
  <c r="F241" i="38"/>
  <c r="H40" i="38"/>
  <c r="K335" i="39"/>
  <c r="K393" i="39" s="1"/>
  <c r="K411" i="39" s="1"/>
  <c r="K169" i="39"/>
  <c r="L382" i="39"/>
  <c r="K57" i="41"/>
  <c r="M77" i="41"/>
  <c r="M80" i="41" s="1"/>
  <c r="M4" i="41" s="1"/>
  <c r="J382" i="37"/>
  <c r="J403" i="37" s="1"/>
  <c r="J421" i="37" s="1"/>
  <c r="J53" i="37" s="1"/>
  <c r="L382" i="37"/>
  <c r="L403" i="37" s="1"/>
  <c r="L421" i="37" s="1"/>
  <c r="L53" i="37" s="1"/>
  <c r="H165" i="37"/>
  <c r="H186" i="37" s="1"/>
  <c r="H204" i="37" s="1"/>
  <c r="F154" i="37"/>
  <c r="I45" i="38"/>
  <c r="L86" i="38"/>
  <c r="H154" i="39"/>
  <c r="N169" i="39"/>
  <c r="F347" i="39"/>
  <c r="I410" i="40"/>
  <c r="I430" i="40" s="1"/>
  <c r="G242" i="41"/>
  <c r="G111" i="41" s="1"/>
  <c r="F111" i="41" s="1"/>
  <c r="M63" i="41"/>
  <c r="P208" i="37"/>
  <c r="H17" i="38"/>
  <c r="M335" i="39"/>
  <c r="F138" i="39"/>
  <c r="I151" i="39"/>
  <c r="I154" i="39"/>
  <c r="G170" i="39"/>
  <c r="F405" i="39"/>
  <c r="F425" i="39" s="1"/>
  <c r="G425" i="39" s="1"/>
  <c r="N363" i="39"/>
  <c r="L381" i="37"/>
  <c r="L402" i="37" s="1"/>
  <c r="L420" i="37" s="1"/>
  <c r="L52" i="37" s="1"/>
  <c r="M165" i="37"/>
  <c r="M186" i="37" s="1"/>
  <c r="M204" i="37" s="1"/>
  <c r="K17" i="38"/>
  <c r="F233" i="38"/>
  <c r="K40" i="38"/>
  <c r="J151" i="39"/>
  <c r="L164" i="37"/>
  <c r="L185" i="37" s="1"/>
  <c r="L203" i="37" s="1"/>
  <c r="I357" i="41"/>
  <c r="F26" i="41"/>
  <c r="I15" i="41"/>
  <c r="I13" i="41" s="1"/>
  <c r="I63" i="41" s="1"/>
  <c r="I21" i="37"/>
  <c r="M26" i="37"/>
  <c r="J161" i="37"/>
  <c r="J182" i="37" s="1"/>
  <c r="K358" i="37"/>
  <c r="K357" i="37"/>
  <c r="K199" i="37"/>
  <c r="K200" i="37" s="1"/>
  <c r="J388" i="37"/>
  <c r="J409" i="37" s="1"/>
  <c r="J427" i="37" s="1"/>
  <c r="J57" i="37" s="1"/>
  <c r="L170" i="37"/>
  <c r="L191" i="37" s="1"/>
  <c r="L209" i="37" s="1"/>
  <c r="K386" i="37"/>
  <c r="K407" i="37" s="1"/>
  <c r="K425" i="37" s="1"/>
  <c r="Q26" i="37"/>
  <c r="I94" i="37"/>
  <c r="P94" i="37"/>
  <c r="F144" i="37"/>
  <c r="M169" i="37"/>
  <c r="M190" i="37" s="1"/>
  <c r="M208" i="37" s="1"/>
  <c r="Q169" i="37"/>
  <c r="Q190" i="37" s="1"/>
  <c r="Q208" i="37" s="1"/>
  <c r="M170" i="37"/>
  <c r="M191" i="37" s="1"/>
  <c r="M209" i="37" s="1"/>
  <c r="Q170" i="37"/>
  <c r="Q191" i="37" s="1"/>
  <c r="Q209" i="37" s="1"/>
  <c r="I172" i="37"/>
  <c r="I193" i="37" s="1"/>
  <c r="I211" i="37" s="1"/>
  <c r="I164" i="37"/>
  <c r="I185" i="37" s="1"/>
  <c r="P166" i="37"/>
  <c r="P187" i="37" s="1"/>
  <c r="P205" i="37" s="1"/>
  <c r="O300" i="37"/>
  <c r="O499" i="37" s="1"/>
  <c r="O491" i="37" s="1"/>
  <c r="K419" i="37"/>
  <c r="J199" i="37"/>
  <c r="J202" i="37" s="1"/>
  <c r="J158" i="37"/>
  <c r="J162" i="37" s="1"/>
  <c r="J183" i="37" s="1"/>
  <c r="J419" i="37"/>
  <c r="K171" i="37"/>
  <c r="K192" i="37" s="1"/>
  <c r="K210" i="37" s="1"/>
  <c r="K163" i="37"/>
  <c r="K184" i="37" s="1"/>
  <c r="J171" i="37"/>
  <c r="J192" i="37" s="1"/>
  <c r="J210" i="37" s="1"/>
  <c r="L387" i="37"/>
  <c r="L408" i="37" s="1"/>
  <c r="L426" i="37" s="1"/>
  <c r="K169" i="37"/>
  <c r="K190" i="37" s="1"/>
  <c r="K387" i="37"/>
  <c r="K408" i="37" s="1"/>
  <c r="K426" i="37" s="1"/>
  <c r="Q348" i="37"/>
  <c r="L419" i="37"/>
  <c r="L160" i="37"/>
  <c r="L163" i="37" s="1"/>
  <c r="L184" i="37" s="1"/>
  <c r="L172" i="37"/>
  <c r="L193" i="37" s="1"/>
  <c r="L211" i="37" s="1"/>
  <c r="L386" i="37"/>
  <c r="L407" i="37" s="1"/>
  <c r="L425" i="37" s="1"/>
  <c r="H66" i="37"/>
  <c r="F118" i="37"/>
  <c r="O348" i="37"/>
  <c r="F147" i="37"/>
  <c r="G170" i="37"/>
  <c r="G191" i="37" s="1"/>
  <c r="N170" i="37"/>
  <c r="N191" i="37" s="1"/>
  <c r="N209" i="37" s="1"/>
  <c r="F153" i="37"/>
  <c r="M172" i="37"/>
  <c r="M193" i="37" s="1"/>
  <c r="M211" i="37" s="1"/>
  <c r="Q172" i="37"/>
  <c r="Q193" i="37" s="1"/>
  <c r="Q211" i="37" s="1"/>
  <c r="F232" i="37"/>
  <c r="F242" i="37" s="1"/>
  <c r="G242" i="37" s="1"/>
  <c r="G111" i="37" s="1"/>
  <c r="F111" i="37" s="1"/>
  <c r="H310" i="37"/>
  <c r="F335" i="37"/>
  <c r="F343" i="37"/>
  <c r="F349" i="37"/>
  <c r="L158" i="37"/>
  <c r="L162" i="37" s="1"/>
  <c r="L183" i="37" s="1"/>
  <c r="J386" i="37"/>
  <c r="J407" i="37" s="1"/>
  <c r="J425" i="37" s="1"/>
  <c r="J170" i="37"/>
  <c r="J191" i="37" s="1"/>
  <c r="J209" i="37" s="1"/>
  <c r="J106" i="37" s="1"/>
  <c r="L169" i="37"/>
  <c r="L190" i="37" s="1"/>
  <c r="L385" i="37"/>
  <c r="L406" i="37" s="1"/>
  <c r="L424" i="37" s="1"/>
  <c r="L388" i="37"/>
  <c r="L409" i="37" s="1"/>
  <c r="L427" i="37" s="1"/>
  <c r="L358" i="37"/>
  <c r="K385" i="37"/>
  <c r="K406" i="37" s="1"/>
  <c r="K424" i="37" s="1"/>
  <c r="M348" i="37"/>
  <c r="J374" i="37"/>
  <c r="J378" i="37" s="1"/>
  <c r="J399" i="37" s="1"/>
  <c r="K158" i="37"/>
  <c r="K162" i="37" s="1"/>
  <c r="K183" i="37" s="1"/>
  <c r="K172" i="37"/>
  <c r="K193" i="37" s="1"/>
  <c r="K211" i="37" s="1"/>
  <c r="H364" i="37"/>
  <c r="H382" i="37" s="1"/>
  <c r="O364" i="37"/>
  <c r="O382" i="37" s="1"/>
  <c r="H21" i="37"/>
  <c r="H15" i="37" s="1"/>
  <c r="H13" i="37" s="1"/>
  <c r="H77" i="37" s="1"/>
  <c r="H80" i="37" s="1"/>
  <c r="H4" i="37" s="1"/>
  <c r="F41" i="37"/>
  <c r="F101" i="37"/>
  <c r="H169" i="37"/>
  <c r="H190" i="37" s="1"/>
  <c r="H208" i="37" s="1"/>
  <c r="O169" i="37"/>
  <c r="O190" i="37" s="1"/>
  <c r="O208" i="37" s="1"/>
  <c r="H170" i="37"/>
  <c r="H191" i="37" s="1"/>
  <c r="H209" i="37" s="1"/>
  <c r="O170" i="37"/>
  <c r="O191" i="37" s="1"/>
  <c r="O209" i="37" s="1"/>
  <c r="P170" i="37"/>
  <c r="P191" i="37" s="1"/>
  <c r="P209" i="37" s="1"/>
  <c r="P172" i="37"/>
  <c r="P193" i="37" s="1"/>
  <c r="P211" i="37" s="1"/>
  <c r="H360" i="37"/>
  <c r="J387" i="37"/>
  <c r="J408" i="37" s="1"/>
  <c r="J426" i="37" s="1"/>
  <c r="K482" i="37"/>
  <c r="K473" i="37"/>
  <c r="K499" i="37"/>
  <c r="K491" i="37" s="1"/>
  <c r="L173" i="37"/>
  <c r="J499" i="37"/>
  <c r="J491" i="37" s="1"/>
  <c r="J482" i="37"/>
  <c r="J473" i="37"/>
  <c r="K388" i="37"/>
  <c r="K409" i="37" s="1"/>
  <c r="K427" i="37" s="1"/>
  <c r="K57" i="37" s="1"/>
  <c r="K389" i="37"/>
  <c r="F223" i="37"/>
  <c r="F438" i="37" s="1"/>
  <c r="P141" i="37"/>
  <c r="F112" i="37"/>
  <c r="G143" i="37"/>
  <c r="G160" i="37" s="1"/>
  <c r="G163" i="37" s="1"/>
  <c r="M141" i="37"/>
  <c r="I141" i="37"/>
  <c r="F328" i="37"/>
  <c r="G93" i="40"/>
  <c r="I58" i="40"/>
  <c r="H53" i="40"/>
  <c r="H357" i="40"/>
  <c r="M163" i="40"/>
  <c r="M184" i="40" s="1"/>
  <c r="J174" i="40"/>
  <c r="J97" i="40" s="1"/>
  <c r="J96" i="40" s="1"/>
  <c r="J91" i="40" s="1"/>
  <c r="J180" i="40" s="1"/>
  <c r="M159" i="40"/>
  <c r="M181" i="40" s="1"/>
  <c r="M197" i="40" s="1"/>
  <c r="N174" i="40"/>
  <c r="N97" i="40" s="1"/>
  <c r="N96" i="40" s="1"/>
  <c r="N91" i="40" s="1"/>
  <c r="N180" i="40" s="1"/>
  <c r="I159" i="40"/>
  <c r="K162" i="40"/>
  <c r="K183" i="40" s="1"/>
  <c r="J181" i="40"/>
  <c r="F214" i="41"/>
  <c r="K58" i="41"/>
  <c r="H357" i="41"/>
  <c r="K357" i="41"/>
  <c r="F141" i="41"/>
  <c r="K272" i="41" s="1"/>
  <c r="K159" i="41"/>
  <c r="K181" i="41" s="1"/>
  <c r="F142" i="41"/>
  <c r="M419" i="41"/>
  <c r="M309" i="41"/>
  <c r="M374" i="41"/>
  <c r="M375" i="41" s="1"/>
  <c r="M397" i="41" s="1"/>
  <c r="K52" i="41"/>
  <c r="J419" i="41"/>
  <c r="J309" i="41"/>
  <c r="N376" i="41"/>
  <c r="N377" i="41" s="1"/>
  <c r="N398" i="41" s="1"/>
  <c r="I181" i="41"/>
  <c r="F447" i="41"/>
  <c r="F457" i="41" s="1"/>
  <c r="G457" i="41" s="1"/>
  <c r="G327" i="41" s="1"/>
  <c r="F327" i="41" s="1"/>
  <c r="G310" i="41"/>
  <c r="N482" i="41"/>
  <c r="N473" i="41"/>
  <c r="N499" i="41"/>
  <c r="N491" i="41" s="1"/>
  <c r="F370" i="41"/>
  <c r="N58" i="41"/>
  <c r="F409" i="41"/>
  <c r="G427" i="41"/>
  <c r="M357" i="41"/>
  <c r="G385" i="41"/>
  <c r="G406" i="41" s="1"/>
  <c r="F367" i="41"/>
  <c r="G380" i="41"/>
  <c r="G401" i="41" s="1"/>
  <c r="F362" i="41"/>
  <c r="G387" i="41"/>
  <c r="G408" i="41" s="1"/>
  <c r="F369" i="41"/>
  <c r="F347" i="41"/>
  <c r="F333" i="41"/>
  <c r="I358" i="41"/>
  <c r="M376" i="41"/>
  <c r="M377" i="41" s="1"/>
  <c r="M398" i="41" s="1"/>
  <c r="F190" i="41"/>
  <c r="G208" i="41"/>
  <c r="F208" i="41" s="1"/>
  <c r="N77" i="41"/>
  <c r="N80" i="41" s="1"/>
  <c r="N4" i="41" s="1"/>
  <c r="N67" i="41"/>
  <c r="N63" i="41"/>
  <c r="J482" i="41"/>
  <c r="J473" i="41"/>
  <c r="J499" i="41"/>
  <c r="J491" i="41" s="1"/>
  <c r="G205" i="41"/>
  <c r="F205" i="41" s="1"/>
  <c r="F187" i="41"/>
  <c r="M159" i="41"/>
  <c r="N199" i="41"/>
  <c r="N200" i="41" s="1"/>
  <c r="J158" i="41"/>
  <c r="J162" i="41" s="1"/>
  <c r="J183" i="41" s="1"/>
  <c r="G211" i="41"/>
  <c r="F211" i="41" s="1"/>
  <c r="F193" i="41"/>
  <c r="F210" i="41"/>
  <c r="L199" i="41"/>
  <c r="L202" i="41" s="1"/>
  <c r="H158" i="41"/>
  <c r="H162" i="41" s="1"/>
  <c r="H183" i="41" s="1"/>
  <c r="M74" i="41"/>
  <c r="M75" i="41" s="1"/>
  <c r="M71" i="41"/>
  <c r="H106" i="41"/>
  <c r="L77" i="41"/>
  <c r="L80" i="41" s="1"/>
  <c r="L4" i="41" s="1"/>
  <c r="L67" i="41"/>
  <c r="L63" i="41"/>
  <c r="G381" i="41"/>
  <c r="G402" i="41" s="1"/>
  <c r="F363" i="41"/>
  <c r="G271" i="41"/>
  <c r="G269" i="41"/>
  <c r="J272" i="41"/>
  <c r="J270" i="41"/>
  <c r="J268" i="41"/>
  <c r="I271" i="41"/>
  <c r="I269" i="41"/>
  <c r="I263" i="41"/>
  <c r="I261" i="41"/>
  <c r="I259" i="41"/>
  <c r="H263" i="41"/>
  <c r="K260" i="41"/>
  <c r="J259" i="41"/>
  <c r="F192" i="41"/>
  <c r="L158" i="41"/>
  <c r="L162" i="41" s="1"/>
  <c r="L183" i="41" s="1"/>
  <c r="L374" i="41"/>
  <c r="L378" i="41" s="1"/>
  <c r="L399" i="41" s="1"/>
  <c r="K419" i="41"/>
  <c r="K309" i="41"/>
  <c r="I419" i="41"/>
  <c r="I309" i="41"/>
  <c r="L419" i="41"/>
  <c r="L309" i="41"/>
  <c r="L334" i="41"/>
  <c r="F360" i="41"/>
  <c r="G389" i="41"/>
  <c r="F371" i="41"/>
  <c r="F389" i="41" s="1"/>
  <c r="G386" i="41"/>
  <c r="G407" i="41" s="1"/>
  <c r="F368" i="41"/>
  <c r="N374" i="41"/>
  <c r="N375" i="41" s="1"/>
  <c r="F194" i="41"/>
  <c r="M160" i="41"/>
  <c r="M163" i="41" s="1"/>
  <c r="M184" i="41" s="1"/>
  <c r="K204" i="41"/>
  <c r="K106" i="41" s="1"/>
  <c r="K93" i="41"/>
  <c r="N158" i="41"/>
  <c r="N162" i="41" s="1"/>
  <c r="N183" i="41" s="1"/>
  <c r="N93" i="41"/>
  <c r="J93" i="41"/>
  <c r="H93" i="41"/>
  <c r="H499" i="41"/>
  <c r="H491" i="41" s="1"/>
  <c r="H482" i="41"/>
  <c r="H473" i="41"/>
  <c r="L53" i="41"/>
  <c r="H419" i="41"/>
  <c r="H309" i="41"/>
  <c r="K374" i="41"/>
  <c r="K375" i="41" s="1"/>
  <c r="F361" i="41"/>
  <c r="F364" i="41"/>
  <c r="G382" i="41"/>
  <c r="G403" i="41" s="1"/>
  <c r="G410" i="41"/>
  <c r="G209" i="41"/>
  <c r="F209" i="41" s="1"/>
  <c r="F191" i="41"/>
  <c r="F143" i="41"/>
  <c r="N419" i="41"/>
  <c r="N309" i="41"/>
  <c r="J374" i="41"/>
  <c r="J378" i="41" s="1"/>
  <c r="J399" i="41" s="1"/>
  <c r="L93" i="41"/>
  <c r="L203" i="41"/>
  <c r="L106" i="41" s="1"/>
  <c r="F186" i="41"/>
  <c r="G204" i="41"/>
  <c r="F204" i="41" s="1"/>
  <c r="G203" i="41"/>
  <c r="G93" i="41"/>
  <c r="F185" i="41"/>
  <c r="N106" i="41"/>
  <c r="I162" i="41"/>
  <c r="I183" i="41" s="1"/>
  <c r="I93" i="41"/>
  <c r="H358" i="41"/>
  <c r="H77" i="41"/>
  <c r="H63" i="41"/>
  <c r="H67" i="41"/>
  <c r="L499" i="41"/>
  <c r="L491" i="41" s="1"/>
  <c r="L482" i="41"/>
  <c r="L473" i="41"/>
  <c r="N376" i="40"/>
  <c r="N377" i="40" s="1"/>
  <c r="N398" i="40" s="1"/>
  <c r="J419" i="40"/>
  <c r="J309" i="40"/>
  <c r="J376" i="40"/>
  <c r="J377" i="40" s="1"/>
  <c r="J398" i="40" s="1"/>
  <c r="L376" i="40"/>
  <c r="L379" i="40" s="1"/>
  <c r="L400" i="40" s="1"/>
  <c r="K376" i="40"/>
  <c r="K377" i="40" s="1"/>
  <c r="K398" i="40" s="1"/>
  <c r="K181" i="40"/>
  <c r="N71" i="40"/>
  <c r="N74" i="40"/>
  <c r="N75" i="40" s="1"/>
  <c r="I374" i="40"/>
  <c r="I375" i="40" s="1"/>
  <c r="M374" i="40"/>
  <c r="M375" i="40" s="1"/>
  <c r="M397" i="40" s="1"/>
  <c r="N357" i="40"/>
  <c r="N358" i="40"/>
  <c r="F333" i="40"/>
  <c r="H71" i="40"/>
  <c r="H74" i="40"/>
  <c r="H75" i="40" s="1"/>
  <c r="L199" i="40"/>
  <c r="L202" i="40" s="1"/>
  <c r="N499" i="40"/>
  <c r="N491" i="40" s="1"/>
  <c r="N482" i="40"/>
  <c r="N473" i="40"/>
  <c r="H374" i="40"/>
  <c r="H375" i="40" s="1"/>
  <c r="H397" i="40" s="1"/>
  <c r="G387" i="40"/>
  <c r="G408" i="40" s="1"/>
  <c r="F369" i="40"/>
  <c r="G482" i="40"/>
  <c r="G473" i="40"/>
  <c r="G499" i="40"/>
  <c r="G491" i="40" s="1"/>
  <c r="J71" i="40"/>
  <c r="J74" i="40"/>
  <c r="J75" i="40" s="1"/>
  <c r="J58" i="40"/>
  <c r="H419" i="40"/>
  <c r="H309" i="40"/>
  <c r="N181" i="40"/>
  <c r="J93" i="40"/>
  <c r="L357" i="40"/>
  <c r="M77" i="40"/>
  <c r="M80" i="40" s="1"/>
  <c r="M4" i="40" s="1"/>
  <c r="M67" i="40"/>
  <c r="M63" i="40"/>
  <c r="K499" i="40"/>
  <c r="K491" i="40" s="1"/>
  <c r="K482" i="40"/>
  <c r="K473" i="40"/>
  <c r="I93" i="40"/>
  <c r="K160" i="40"/>
  <c r="K163" i="40" s="1"/>
  <c r="K184" i="40" s="1"/>
  <c r="F193" i="40"/>
  <c r="G211" i="40"/>
  <c r="F211" i="40" s="1"/>
  <c r="F210" i="40"/>
  <c r="H93" i="40"/>
  <c r="H203" i="40"/>
  <c r="G374" i="40"/>
  <c r="G375" i="40" s="1"/>
  <c r="F360" i="40"/>
  <c r="G385" i="40"/>
  <c r="G406" i="40" s="1"/>
  <c r="F367" i="40"/>
  <c r="N93" i="40"/>
  <c r="J199" i="40"/>
  <c r="J202" i="40" s="1"/>
  <c r="H158" i="40"/>
  <c r="H162" i="40" s="1"/>
  <c r="H183" i="40" s="1"/>
  <c r="M376" i="40"/>
  <c r="M379" i="40" s="1"/>
  <c r="M400" i="40" s="1"/>
  <c r="F192" i="40"/>
  <c r="L203" i="40"/>
  <c r="L106" i="40" s="1"/>
  <c r="L93" i="40"/>
  <c r="L419" i="40"/>
  <c r="L309" i="40"/>
  <c r="M419" i="40"/>
  <c r="M309" i="40"/>
  <c r="N419" i="40"/>
  <c r="N309" i="40"/>
  <c r="J197" i="40"/>
  <c r="J201" i="40" s="1"/>
  <c r="I181" i="40"/>
  <c r="F141" i="40"/>
  <c r="F185" i="40"/>
  <c r="J106" i="40"/>
  <c r="F194" i="40"/>
  <c r="G214" i="40"/>
  <c r="F214" i="40" s="1"/>
  <c r="I106" i="40"/>
  <c r="K209" i="40"/>
  <c r="K106" i="40" s="1"/>
  <c r="K93" i="40"/>
  <c r="F26" i="40"/>
  <c r="H499" i="40"/>
  <c r="H491" i="40" s="1"/>
  <c r="H482" i="40"/>
  <c r="H473" i="40"/>
  <c r="F348" i="40"/>
  <c r="G380" i="40"/>
  <c r="G401" i="40" s="1"/>
  <c r="F362" i="40"/>
  <c r="G382" i="40"/>
  <c r="G403" i="40" s="1"/>
  <c r="F364" i="40"/>
  <c r="F371" i="40"/>
  <c r="F389" i="40" s="1"/>
  <c r="G389" i="40"/>
  <c r="N106" i="40"/>
  <c r="M199" i="40"/>
  <c r="M200" i="40" s="1"/>
  <c r="F143" i="40"/>
  <c r="F361" i="40"/>
  <c r="L71" i="40"/>
  <c r="L74" i="40"/>
  <c r="L75" i="40" s="1"/>
  <c r="I419" i="40"/>
  <c r="I309" i="40"/>
  <c r="K419" i="40"/>
  <c r="K309" i="40"/>
  <c r="G410" i="40"/>
  <c r="G158" i="40"/>
  <c r="G162" i="40" s="1"/>
  <c r="F142" i="40"/>
  <c r="N199" i="40"/>
  <c r="N202" i="40" s="1"/>
  <c r="L158" i="40"/>
  <c r="L162" i="40" s="1"/>
  <c r="L183" i="40" s="1"/>
  <c r="J358" i="40"/>
  <c r="J499" i="40"/>
  <c r="J491" i="40" s="1"/>
  <c r="J482" i="40"/>
  <c r="J473" i="40"/>
  <c r="K358" i="40"/>
  <c r="M93" i="40"/>
  <c r="G209" i="40"/>
  <c r="F191" i="40"/>
  <c r="K67" i="40"/>
  <c r="K63" i="40"/>
  <c r="K77" i="40"/>
  <c r="K80" i="40" s="1"/>
  <c r="K4" i="40" s="1"/>
  <c r="L358" i="40"/>
  <c r="L499" i="40"/>
  <c r="L491" i="40" s="1"/>
  <c r="L482" i="40"/>
  <c r="L473" i="40"/>
  <c r="G205" i="40"/>
  <c r="F187" i="40"/>
  <c r="G386" i="40"/>
  <c r="G407" i="40" s="1"/>
  <c r="F368" i="40"/>
  <c r="G381" i="40"/>
  <c r="G402" i="40" s="1"/>
  <c r="F363" i="40"/>
  <c r="G388" i="40"/>
  <c r="G409" i="40" s="1"/>
  <c r="F370" i="40"/>
  <c r="G435" i="37"/>
  <c r="G355" i="37"/>
  <c r="G394" i="37"/>
  <c r="G331" i="37"/>
  <c r="N435" i="37"/>
  <c r="N355" i="37"/>
  <c r="N331" i="37"/>
  <c r="N394" i="37"/>
  <c r="G203" i="37"/>
  <c r="N203" i="37"/>
  <c r="G205" i="37"/>
  <c r="G209" i="37"/>
  <c r="H499" i="37"/>
  <c r="H491" i="37" s="1"/>
  <c r="H482" i="37"/>
  <c r="H473" i="37"/>
  <c r="H203" i="37"/>
  <c r="O203" i="37"/>
  <c r="I158" i="37"/>
  <c r="I159" i="37" s="1"/>
  <c r="P158" i="37"/>
  <c r="P162" i="37" s="1"/>
  <c r="P183" i="37" s="1"/>
  <c r="H334" i="37"/>
  <c r="H359" i="37" s="1"/>
  <c r="O334" i="37"/>
  <c r="O359" i="37" s="1"/>
  <c r="M371" i="37"/>
  <c r="M389" i="37" s="1"/>
  <c r="M370" i="37"/>
  <c r="M388" i="37" s="1"/>
  <c r="M367" i="37"/>
  <c r="M385" i="37" s="1"/>
  <c r="M361" i="37"/>
  <c r="M364" i="37"/>
  <c r="M382" i="37" s="1"/>
  <c r="M360" i="37"/>
  <c r="M369" i="37"/>
  <c r="M387" i="37" s="1"/>
  <c r="M363" i="37"/>
  <c r="M381" i="37" s="1"/>
  <c r="M402" i="37" s="1"/>
  <c r="M420" i="37" s="1"/>
  <c r="M52" i="37" s="1"/>
  <c r="M368" i="37"/>
  <c r="M386" i="37" s="1"/>
  <c r="M362" i="37"/>
  <c r="M380" i="37" s="1"/>
  <c r="Q371" i="37"/>
  <c r="Q389" i="37" s="1"/>
  <c r="Q370" i="37"/>
  <c r="Q388" i="37" s="1"/>
  <c r="Q409" i="37" s="1"/>
  <c r="Q427" i="37" s="1"/>
  <c r="Q367" i="37"/>
  <c r="Q385" i="37" s="1"/>
  <c r="Q361" i="37"/>
  <c r="Q364" i="37"/>
  <c r="Q382" i="37" s="1"/>
  <c r="Q360" i="37"/>
  <c r="Q363" i="37"/>
  <c r="Q381" i="37" s="1"/>
  <c r="Q368" i="37"/>
  <c r="Q386" i="37" s="1"/>
  <c r="Q407" i="37" s="1"/>
  <c r="Q425" i="37" s="1"/>
  <c r="Q362" i="37"/>
  <c r="Q380" i="37" s="1"/>
  <c r="Q401" i="37" s="1"/>
  <c r="Q369" i="37"/>
  <c r="Q387" i="37" s="1"/>
  <c r="Q408" i="37" s="1"/>
  <c r="Q426" i="37" s="1"/>
  <c r="I160" i="37"/>
  <c r="I163" i="37" s="1"/>
  <c r="I184" i="37" s="1"/>
  <c r="P160" i="37"/>
  <c r="P163" i="37" s="1"/>
  <c r="P184" i="37" s="1"/>
  <c r="M203" i="37"/>
  <c r="Q203" i="37"/>
  <c r="I203" i="37"/>
  <c r="M406" i="37"/>
  <c r="M424" i="37" s="1"/>
  <c r="M54" i="37" s="1"/>
  <c r="H435" i="37"/>
  <c r="H394" i="37"/>
  <c r="H331" i="37"/>
  <c r="P499" i="37"/>
  <c r="P491" i="37" s="1"/>
  <c r="P482" i="37"/>
  <c r="P473" i="37"/>
  <c r="Q334" i="37"/>
  <c r="Q359" i="37" s="1"/>
  <c r="N194" i="37"/>
  <c r="N214" i="37" s="1"/>
  <c r="N347" i="37"/>
  <c r="F148" i="37"/>
  <c r="P164" i="37"/>
  <c r="P185" i="37" s="1"/>
  <c r="F185" i="37" s="1"/>
  <c r="G208" i="37"/>
  <c r="I170" i="37"/>
  <c r="I191" i="37" s="1"/>
  <c r="I209" i="37" s="1"/>
  <c r="F339" i="37"/>
  <c r="M407" i="37"/>
  <c r="M425" i="37" s="1"/>
  <c r="I435" i="37"/>
  <c r="I394" i="37"/>
  <c r="I331" i="37"/>
  <c r="I355" i="37"/>
  <c r="P435" i="37"/>
  <c r="P394" i="37"/>
  <c r="P331" i="37"/>
  <c r="P355" i="37"/>
  <c r="M499" i="37"/>
  <c r="M491" i="37" s="1"/>
  <c r="M482" i="37"/>
  <c r="M473" i="37"/>
  <c r="Q499" i="37"/>
  <c r="Q491" i="37" s="1"/>
  <c r="Q482" i="37"/>
  <c r="Q473" i="37"/>
  <c r="I15" i="37"/>
  <c r="I13" i="37" s="1"/>
  <c r="N26" i="37"/>
  <c r="H333" i="37"/>
  <c r="H357" i="37" s="1"/>
  <c r="H347" i="37"/>
  <c r="O347" i="37"/>
  <c r="O410" i="37" s="1"/>
  <c r="O430" i="37" s="1"/>
  <c r="G348" i="37"/>
  <c r="N348" i="37"/>
  <c r="Q141" i="37"/>
  <c r="H143" i="37"/>
  <c r="O143" i="37"/>
  <c r="F145" i="37"/>
  <c r="F151" i="37"/>
  <c r="G172" i="37"/>
  <c r="G193" i="37" s="1"/>
  <c r="N172" i="37"/>
  <c r="N193" i="37" s="1"/>
  <c r="N211" i="37" s="1"/>
  <c r="F155" i="37"/>
  <c r="F173" i="37" s="1"/>
  <c r="M158" i="37"/>
  <c r="M159" i="37" s="1"/>
  <c r="Q158" i="37"/>
  <c r="Q159" i="37" s="1"/>
  <c r="H159" i="37"/>
  <c r="O159" i="37"/>
  <c r="O181" i="37" s="1"/>
  <c r="M331" i="37"/>
  <c r="F338" i="37"/>
  <c r="H403" i="37"/>
  <c r="H421" i="37" s="1"/>
  <c r="H53" i="37" s="1"/>
  <c r="O403" i="37"/>
  <c r="O421" i="37" s="1"/>
  <c r="O53" i="37" s="1"/>
  <c r="N406" i="37"/>
  <c r="N424" i="37" s="1"/>
  <c r="N54" i="37" s="1"/>
  <c r="I317" i="37"/>
  <c r="I457" i="37"/>
  <c r="I327" i="37" s="1"/>
  <c r="I310" i="37"/>
  <c r="P457" i="37"/>
  <c r="P327" i="37" s="1"/>
  <c r="P310" i="37"/>
  <c r="O360" i="37"/>
  <c r="L40" i="38"/>
  <c r="H334" i="39"/>
  <c r="F22" i="39"/>
  <c r="L392" i="39"/>
  <c r="L361" i="39"/>
  <c r="G393" i="39"/>
  <c r="G362" i="39"/>
  <c r="O435" i="37"/>
  <c r="O331" i="37"/>
  <c r="O394" i="37"/>
  <c r="P371" i="37"/>
  <c r="P389" i="37" s="1"/>
  <c r="P369" i="37"/>
  <c r="P387" i="37" s="1"/>
  <c r="P408" i="37" s="1"/>
  <c r="P426" i="37" s="1"/>
  <c r="P368" i="37"/>
  <c r="P386" i="37" s="1"/>
  <c r="P407" i="37" s="1"/>
  <c r="P425" i="37" s="1"/>
  <c r="P362" i="37"/>
  <c r="P380" i="37" s="1"/>
  <c r="P401" i="37" s="1"/>
  <c r="P358" i="37"/>
  <c r="P367" i="37"/>
  <c r="P385" i="37" s="1"/>
  <c r="P361" i="37"/>
  <c r="P364" i="37"/>
  <c r="P382" i="37" s="1"/>
  <c r="P403" i="37" s="1"/>
  <c r="P421" i="37" s="1"/>
  <c r="P53" i="37" s="1"/>
  <c r="P360" i="37"/>
  <c r="I27" i="37"/>
  <c r="I334" i="37" s="1"/>
  <c r="I359" i="37" s="1"/>
  <c r="M334" i="37"/>
  <c r="M359" i="37" s="1"/>
  <c r="G194" i="37"/>
  <c r="G347" i="37"/>
  <c r="G171" i="37"/>
  <c r="G192" i="37" s="1"/>
  <c r="Q406" i="37"/>
  <c r="Q424" i="37" s="1"/>
  <c r="P363" i="37"/>
  <c r="P381" i="37" s="1"/>
  <c r="I369" i="37"/>
  <c r="I387" i="37" s="1"/>
  <c r="M394" i="37"/>
  <c r="M355" i="37"/>
  <c r="Q394" i="37"/>
  <c r="Q355" i="37"/>
  <c r="Q435" i="37"/>
  <c r="N499" i="37"/>
  <c r="N491" i="37" s="1"/>
  <c r="N482" i="37"/>
  <c r="N473" i="37"/>
  <c r="G370" i="37"/>
  <c r="G364" i="37"/>
  <c r="G360" i="37"/>
  <c r="G369" i="37"/>
  <c r="G363" i="37"/>
  <c r="G368" i="37"/>
  <c r="G362" i="37"/>
  <c r="G358" i="37"/>
  <c r="N370" i="37"/>
  <c r="N388" i="37" s="1"/>
  <c r="N409" i="37" s="1"/>
  <c r="N427" i="37" s="1"/>
  <c r="N369" i="37"/>
  <c r="N387" i="37" s="1"/>
  <c r="N364" i="37"/>
  <c r="N382" i="37" s="1"/>
  <c r="N403" i="37" s="1"/>
  <c r="N421" i="37" s="1"/>
  <c r="N53" i="37" s="1"/>
  <c r="N360" i="37"/>
  <c r="N363" i="37"/>
  <c r="N381" i="37" s="1"/>
  <c r="N368" i="37"/>
  <c r="N386" i="37" s="1"/>
  <c r="N407" i="37" s="1"/>
  <c r="N425" i="37" s="1"/>
  <c r="N362" i="37"/>
  <c r="N380" i="37" s="1"/>
  <c r="N401" i="37" s="1"/>
  <c r="M21" i="37"/>
  <c r="M15" i="37" s="1"/>
  <c r="M13" i="37" s="1"/>
  <c r="Q21" i="37"/>
  <c r="Q15" i="37" s="1"/>
  <c r="Q13" i="37" s="1"/>
  <c r="O26" i="37"/>
  <c r="O333" i="37" s="1"/>
  <c r="M66" i="37"/>
  <c r="Q66" i="37"/>
  <c r="G141" i="37"/>
  <c r="N141" i="37"/>
  <c r="F146" i="37"/>
  <c r="F152" i="37"/>
  <c r="H172" i="37"/>
  <c r="H193" i="37" s="1"/>
  <c r="H211" i="37" s="1"/>
  <c r="O172" i="37"/>
  <c r="O193" i="37" s="1"/>
  <c r="O211" i="37" s="1"/>
  <c r="N161" i="37"/>
  <c r="N182" i="37" s="1"/>
  <c r="M162" i="37"/>
  <c r="M183" i="37" s="1"/>
  <c r="H194" i="37"/>
  <c r="H214" i="37" s="1"/>
  <c r="Q331" i="37"/>
  <c r="F337" i="37"/>
  <c r="P402" i="37"/>
  <c r="P420" i="37" s="1"/>
  <c r="P52" i="37" s="1"/>
  <c r="I347" i="37"/>
  <c r="I410" i="37" s="1"/>
  <c r="I430" i="37" s="1"/>
  <c r="I58" i="37" s="1"/>
  <c r="G361" i="37"/>
  <c r="P370" i="37"/>
  <c r="P388" i="37" s="1"/>
  <c r="P409" i="37" s="1"/>
  <c r="P427" i="37" s="1"/>
  <c r="P57" i="37" s="1"/>
  <c r="G473" i="37"/>
  <c r="G482" i="37"/>
  <c r="I499" i="37"/>
  <c r="I491" i="37" s="1"/>
  <c r="I482" i="37"/>
  <c r="I473" i="37"/>
  <c r="I371" i="37"/>
  <c r="I389" i="37" s="1"/>
  <c r="I368" i="37"/>
  <c r="I386" i="37" s="1"/>
  <c r="I407" i="37" s="1"/>
  <c r="I425" i="37" s="1"/>
  <c r="I362" i="37"/>
  <c r="I380" i="37" s="1"/>
  <c r="I401" i="37" s="1"/>
  <c r="I370" i="37"/>
  <c r="I388" i="37" s="1"/>
  <c r="I367" i="37"/>
  <c r="I385" i="37" s="1"/>
  <c r="I406" i="37" s="1"/>
  <c r="I424" i="37" s="1"/>
  <c r="I54" i="37" s="1"/>
  <c r="I361" i="37"/>
  <c r="I364" i="37"/>
  <c r="I382" i="37" s="1"/>
  <c r="I403" i="37" s="1"/>
  <c r="I421" i="37" s="1"/>
  <c r="I53" i="37" s="1"/>
  <c r="I360" i="37"/>
  <c r="P27" i="37"/>
  <c r="P334" i="37" s="1"/>
  <c r="G165" i="37"/>
  <c r="G186" i="37" s="1"/>
  <c r="I166" i="37"/>
  <c r="I187" i="37" s="1"/>
  <c r="I205" i="37" s="1"/>
  <c r="H369" i="37"/>
  <c r="H387" i="37" s="1"/>
  <c r="H408" i="37" s="1"/>
  <c r="H426" i="37" s="1"/>
  <c r="H363" i="37"/>
  <c r="H381" i="37" s="1"/>
  <c r="H402" i="37" s="1"/>
  <c r="H420" i="37" s="1"/>
  <c r="H52" i="37" s="1"/>
  <c r="H371" i="37"/>
  <c r="H389" i="37" s="1"/>
  <c r="H368" i="37"/>
  <c r="H386" i="37" s="1"/>
  <c r="H362" i="37"/>
  <c r="H380" i="37" s="1"/>
  <c r="H401" i="37" s="1"/>
  <c r="H370" i="37"/>
  <c r="H388" i="37" s="1"/>
  <c r="H409" i="37" s="1"/>
  <c r="H427" i="37" s="1"/>
  <c r="H57" i="37" s="1"/>
  <c r="H367" i="37"/>
  <c r="H385" i="37" s="1"/>
  <c r="H406" i="37" s="1"/>
  <c r="H424" i="37" s="1"/>
  <c r="H361" i="37"/>
  <c r="O370" i="37"/>
  <c r="O388" i="37" s="1"/>
  <c r="O409" i="37" s="1"/>
  <c r="O427" i="37" s="1"/>
  <c r="O363" i="37"/>
  <c r="O381" i="37" s="1"/>
  <c r="O402" i="37" s="1"/>
  <c r="O420" i="37" s="1"/>
  <c r="O52" i="37" s="1"/>
  <c r="O369" i="37"/>
  <c r="O387" i="37" s="1"/>
  <c r="O408" i="37" s="1"/>
  <c r="O426" i="37" s="1"/>
  <c r="O368" i="37"/>
  <c r="O386" i="37" s="1"/>
  <c r="O362" i="37"/>
  <c r="O380" i="37" s="1"/>
  <c r="O367" i="37"/>
  <c r="O385" i="37" s="1"/>
  <c r="O406" i="37" s="1"/>
  <c r="O424" i="37" s="1"/>
  <c r="O54" i="37" s="1"/>
  <c r="O361" i="37"/>
  <c r="F117" i="37"/>
  <c r="M333" i="37"/>
  <c r="Q333" i="37"/>
  <c r="Q357" i="37" s="1"/>
  <c r="F131" i="37"/>
  <c r="M194" i="37"/>
  <c r="M214" i="37" s="1"/>
  <c r="M347" i="37"/>
  <c r="Q194" i="37"/>
  <c r="Q214" i="37" s="1"/>
  <c r="Q347" i="37"/>
  <c r="Q410" i="37" s="1"/>
  <c r="Q430" i="37" s="1"/>
  <c r="Q58" i="37" s="1"/>
  <c r="I348" i="37"/>
  <c r="P348" i="37"/>
  <c r="P410" i="37" s="1"/>
  <c r="P430" i="37" s="1"/>
  <c r="P58" i="37" s="1"/>
  <c r="H141" i="37"/>
  <c r="O141" i="37"/>
  <c r="G142" i="37"/>
  <c r="N142" i="37"/>
  <c r="M143" i="37"/>
  <c r="Q143" i="37"/>
  <c r="H181" i="37"/>
  <c r="O194" i="37"/>
  <c r="O214" i="37" s="1"/>
  <c r="O310" i="37"/>
  <c r="I333" i="37"/>
  <c r="I358" i="37" s="1"/>
  <c r="M401" i="37"/>
  <c r="I408" i="37"/>
  <c r="I426" i="37" s="1"/>
  <c r="P347" i="37"/>
  <c r="H355" i="37"/>
  <c r="N361" i="37"/>
  <c r="I363" i="37"/>
  <c r="I381" i="37" s="1"/>
  <c r="I402" i="37" s="1"/>
  <c r="I420" i="37" s="1"/>
  <c r="I52" i="37" s="1"/>
  <c r="G367" i="37"/>
  <c r="O371" i="37"/>
  <c r="O389" i="37" s="1"/>
  <c r="I235" i="38"/>
  <c r="I115" i="38"/>
  <c r="I89" i="38"/>
  <c r="F90" i="38"/>
  <c r="F116" i="38"/>
  <c r="G116" i="38" s="1"/>
  <c r="F120" i="38"/>
  <c r="G120" i="38" s="1"/>
  <c r="K132" i="38"/>
  <c r="K79" i="38" s="1"/>
  <c r="K74" i="38"/>
  <c r="K75" i="38"/>
  <c r="K73" i="38"/>
  <c r="F262" i="38"/>
  <c r="G262" i="38" s="1"/>
  <c r="F264" i="38"/>
  <c r="G264" i="38" s="1"/>
  <c r="F244" i="38"/>
  <c r="G269" i="38"/>
  <c r="F269" i="38" s="1"/>
  <c r="F286" i="38" s="1"/>
  <c r="G286" i="38" s="1"/>
  <c r="Q402" i="37"/>
  <c r="Q420" i="37" s="1"/>
  <c r="Q52" i="37" s="1"/>
  <c r="M408" i="37"/>
  <c r="M426" i="37" s="1"/>
  <c r="I409" i="37"/>
  <c r="I427" i="37" s="1"/>
  <c r="I57" i="37" s="1"/>
  <c r="H410" i="37"/>
  <c r="H430" i="37" s="1"/>
  <c r="F352" i="37"/>
  <c r="F460" i="37"/>
  <c r="I438" i="37"/>
  <c r="P438" i="37"/>
  <c r="L234" i="38"/>
  <c r="L259" i="38" s="1"/>
  <c r="L114" i="38"/>
  <c r="L112" i="38"/>
  <c r="I40" i="38"/>
  <c r="G179" i="39"/>
  <c r="G148" i="39"/>
  <c r="F121" i="39"/>
  <c r="K179" i="39"/>
  <c r="K148" i="39"/>
  <c r="J180" i="39"/>
  <c r="J198" i="39" s="1"/>
  <c r="J149" i="39"/>
  <c r="J163" i="39" s="1"/>
  <c r="N180" i="39"/>
  <c r="N198" i="39" s="1"/>
  <c r="N149" i="39"/>
  <c r="N163" i="39" s="1"/>
  <c r="N172" i="39" s="1"/>
  <c r="O401" i="37"/>
  <c r="N402" i="37"/>
  <c r="N420" i="37" s="1"/>
  <c r="N52" i="37" s="1"/>
  <c r="M403" i="37"/>
  <c r="M421" i="37" s="1"/>
  <c r="M53" i="37" s="1"/>
  <c r="Q403" i="37"/>
  <c r="Q421" i="37" s="1"/>
  <c r="Q53" i="37" s="1"/>
  <c r="P406" i="37"/>
  <c r="P424" i="37" s="1"/>
  <c r="P54" i="37" s="1"/>
  <c r="H407" i="37"/>
  <c r="H425" i="37" s="1"/>
  <c r="O407" i="37"/>
  <c r="O425" i="37" s="1"/>
  <c r="N408" i="37"/>
  <c r="N426" i="37" s="1"/>
  <c r="M409" i="37"/>
  <c r="M427" i="37" s="1"/>
  <c r="M57" i="37" s="1"/>
  <c r="F447" i="37"/>
  <c r="F457" i="37" s="1"/>
  <c r="F13" i="38"/>
  <c r="J55" i="38"/>
  <c r="J17" i="38"/>
  <c r="J48" i="38"/>
  <c r="J45" i="38"/>
  <c r="G234" i="38"/>
  <c r="G257" i="38" s="1"/>
  <c r="G273" i="38"/>
  <c r="G274" i="38" s="1"/>
  <c r="I151" i="38"/>
  <c r="I110" i="38"/>
  <c r="I86" i="38"/>
  <c r="H234" i="38"/>
  <c r="H259" i="38" s="1"/>
  <c r="H114" i="38"/>
  <c r="J89" i="38"/>
  <c r="H112" i="38"/>
  <c r="H128" i="38"/>
  <c r="H129" i="38" s="1"/>
  <c r="F113" i="38"/>
  <c r="L128" i="38"/>
  <c r="L129" i="38" s="1"/>
  <c r="F134" i="38"/>
  <c r="G134" i="38" s="1"/>
  <c r="G145" i="38"/>
  <c r="J235" i="38"/>
  <c r="G271" i="38"/>
  <c r="F248" i="38"/>
  <c r="F270" i="38"/>
  <c r="F287" i="38" s="1"/>
  <c r="G287" i="38" s="1"/>
  <c r="G318" i="38"/>
  <c r="F308" i="38"/>
  <c r="K183" i="39"/>
  <c r="G194" i="39"/>
  <c r="G157" i="39"/>
  <c r="F137" i="39"/>
  <c r="G350" i="39"/>
  <c r="G125" i="39"/>
  <c r="G338" i="39" s="1"/>
  <c r="K194" i="39"/>
  <c r="K216" i="39" s="1"/>
  <c r="K350" i="39"/>
  <c r="K157" i="39"/>
  <c r="K171" i="39" s="1"/>
  <c r="J351" i="39"/>
  <c r="J125" i="39"/>
  <c r="N351" i="39"/>
  <c r="N125" i="39"/>
  <c r="N157" i="39"/>
  <c r="N171" i="39" s="1"/>
  <c r="K205" i="39"/>
  <c r="K151" i="39"/>
  <c r="M438" i="37"/>
  <c r="Q438" i="37"/>
  <c r="I17" i="38"/>
  <c r="F17" i="38" s="1"/>
  <c r="G45" i="38"/>
  <c r="K45" i="38"/>
  <c r="J110" i="38"/>
  <c r="I129" i="38"/>
  <c r="L173" i="38"/>
  <c r="H173" i="38"/>
  <c r="K173" i="38"/>
  <c r="G173" i="38"/>
  <c r="J173" i="38"/>
  <c r="H258" i="38"/>
  <c r="L258" i="38"/>
  <c r="F261" i="38"/>
  <c r="G261" i="38" s="1"/>
  <c r="F238" i="38"/>
  <c r="F268" i="38"/>
  <c r="F285" i="38" s="1"/>
  <c r="G285" i="38" s="1"/>
  <c r="F245" i="38"/>
  <c r="I271" i="38"/>
  <c r="I290" i="38" s="1"/>
  <c r="K273" i="38"/>
  <c r="K274" i="38" s="1"/>
  <c r="G44" i="38"/>
  <c r="K234" i="38"/>
  <c r="K259" i="38" s="1"/>
  <c r="G136" i="38"/>
  <c r="J115" i="38"/>
  <c r="G119" i="38"/>
  <c r="I273" i="38"/>
  <c r="I274" i="38" s="1"/>
  <c r="F265" i="38"/>
  <c r="G265" i="38" s="1"/>
  <c r="F242" i="38"/>
  <c r="F249" i="38"/>
  <c r="F288" i="38"/>
  <c r="J318" i="38"/>
  <c r="G300" i="39"/>
  <c r="G54" i="39"/>
  <c r="K300" i="39"/>
  <c r="K54" i="39"/>
  <c r="G373" i="39"/>
  <c r="K380" i="39"/>
  <c r="K379" i="39"/>
  <c r="K378" i="39"/>
  <c r="K375" i="39"/>
  <c r="K412" i="39"/>
  <c r="K373" i="39"/>
  <c r="G370" i="39"/>
  <c r="K370" i="39"/>
  <c r="K384" i="39" s="1"/>
  <c r="F89" i="38"/>
  <c r="H110" i="38"/>
  <c r="L110" i="38"/>
  <c r="G114" i="38"/>
  <c r="K114" i="38"/>
  <c r="H115" i="38"/>
  <c r="L115" i="38"/>
  <c r="F118" i="38"/>
  <c r="G118" i="38" s="1"/>
  <c r="F124" i="38"/>
  <c r="F141" i="38" s="1"/>
  <c r="G141" i="38" s="1"/>
  <c r="G129" i="38"/>
  <c r="K129" i="38"/>
  <c r="G151" i="38"/>
  <c r="K151" i="38"/>
  <c r="G235" i="38"/>
  <c r="K235" i="38"/>
  <c r="I318" i="38"/>
  <c r="H497" i="39"/>
  <c r="H489" i="39" s="1"/>
  <c r="H480" i="39"/>
  <c r="H471" i="39"/>
  <c r="L497" i="39"/>
  <c r="L489" i="39" s="1"/>
  <c r="L480" i="39"/>
  <c r="L471" i="39"/>
  <c r="H412" i="39"/>
  <c r="H379" i="39"/>
  <c r="H378" i="39"/>
  <c r="H375" i="39"/>
  <c r="H380" i="39"/>
  <c r="H373" i="39"/>
  <c r="L412" i="39"/>
  <c r="L379" i="39"/>
  <c r="L378" i="39"/>
  <c r="L375" i="39"/>
  <c r="L373" i="39"/>
  <c r="L380" i="39"/>
  <c r="F26" i="39"/>
  <c r="K338" i="39"/>
  <c r="L54" i="39"/>
  <c r="F181" i="39"/>
  <c r="F184" i="39"/>
  <c r="G184" i="39" s="1"/>
  <c r="G150" i="39" s="1"/>
  <c r="F208" i="39"/>
  <c r="G208" i="39" s="1"/>
  <c r="F188" i="39"/>
  <c r="G188" i="39" s="1"/>
  <c r="G154" i="39" s="1"/>
  <c r="F154" i="39"/>
  <c r="F150" i="39"/>
  <c r="H235" i="38"/>
  <c r="L235" i="38"/>
  <c r="I300" i="39"/>
  <c r="I54" i="39"/>
  <c r="M300" i="39"/>
  <c r="M54" i="39"/>
  <c r="I412" i="39"/>
  <c r="I378" i="39"/>
  <c r="I380" i="39"/>
  <c r="I373" i="39"/>
  <c r="I379" i="39"/>
  <c r="I375" i="39"/>
  <c r="M412" i="39"/>
  <c r="M378" i="39"/>
  <c r="M380" i="39"/>
  <c r="M373" i="39"/>
  <c r="M375" i="39"/>
  <c r="M379" i="39"/>
  <c r="J392" i="39"/>
  <c r="J361" i="39"/>
  <c r="N392" i="39"/>
  <c r="N361" i="39"/>
  <c r="I393" i="39"/>
  <c r="I411" i="39" s="1"/>
  <c r="I362" i="39"/>
  <c r="M393" i="39"/>
  <c r="M411" i="39" s="1"/>
  <c r="M362" i="39"/>
  <c r="M196" i="39"/>
  <c r="M197" i="39" s="1"/>
  <c r="H163" i="39"/>
  <c r="G354" i="39"/>
  <c r="F354" i="39" s="1"/>
  <c r="F141" i="39"/>
  <c r="J355" i="39"/>
  <c r="J447" i="39" s="1"/>
  <c r="J234" i="39"/>
  <c r="J244" i="39" s="1"/>
  <c r="N355" i="39"/>
  <c r="N447" i="39" s="1"/>
  <c r="N457" i="39" s="1"/>
  <c r="N234" i="39"/>
  <c r="N244" i="39" s="1"/>
  <c r="G212" i="39"/>
  <c r="J300" i="39"/>
  <c r="J54" i="39"/>
  <c r="N300" i="39"/>
  <c r="N54" i="39"/>
  <c r="J412" i="39"/>
  <c r="J380" i="39"/>
  <c r="J373" i="39"/>
  <c r="J379" i="39"/>
  <c r="J378" i="39"/>
  <c r="J375" i="39"/>
  <c r="N412" i="39"/>
  <c r="N380" i="39"/>
  <c r="N373" i="39"/>
  <c r="N379" i="39"/>
  <c r="N378" i="39"/>
  <c r="G334" i="39"/>
  <c r="N335" i="39"/>
  <c r="N196" i="39"/>
  <c r="N197" i="39" s="1"/>
  <c r="I352" i="39"/>
  <c r="F352" i="39" s="1"/>
  <c r="I125" i="39"/>
  <c r="I338" i="39" s="1"/>
  <c r="M352" i="39"/>
  <c r="M125" i="39"/>
  <c r="J196" i="39"/>
  <c r="J197" i="39" s="1"/>
  <c r="N375" i="39"/>
  <c r="I392" i="39"/>
  <c r="I361" i="39"/>
  <c r="M392" i="39"/>
  <c r="M361" i="39"/>
  <c r="H393" i="39"/>
  <c r="H411" i="39" s="1"/>
  <c r="H362" i="39"/>
  <c r="H376" i="39" s="1"/>
  <c r="L393" i="39"/>
  <c r="L411" i="39" s="1"/>
  <c r="L362" i="39"/>
  <c r="G394" i="39"/>
  <c r="J338" i="39"/>
  <c r="N338" i="39"/>
  <c r="H179" i="39"/>
  <c r="L179" i="39"/>
  <c r="G180" i="39"/>
  <c r="K180" i="39"/>
  <c r="K198" i="39" s="1"/>
  <c r="F123" i="39"/>
  <c r="H125" i="39"/>
  <c r="H338" i="39" s="1"/>
  <c r="L125" i="39"/>
  <c r="L338" i="39" s="1"/>
  <c r="F185" i="39"/>
  <c r="G185" i="39" s="1"/>
  <c r="G151" i="39" s="1"/>
  <c r="H350" i="39"/>
  <c r="H370" i="39" s="1"/>
  <c r="H384" i="39" s="1"/>
  <c r="H157" i="39"/>
  <c r="H171" i="39" s="1"/>
  <c r="L350" i="39"/>
  <c r="L370" i="39" s="1"/>
  <c r="L384" i="39" s="1"/>
  <c r="L157" i="39"/>
  <c r="L171" i="39" s="1"/>
  <c r="F351" i="39"/>
  <c r="F139" i="39"/>
  <c r="G355" i="39"/>
  <c r="G234" i="39"/>
  <c r="K355" i="39"/>
  <c r="K447" i="39" s="1"/>
  <c r="K457" i="39" s="1"/>
  <c r="K234" i="39"/>
  <c r="K244" i="39" s="1"/>
  <c r="M148" i="39"/>
  <c r="L149" i="39"/>
  <c r="L163" i="39" s="1"/>
  <c r="F151" i="39"/>
  <c r="K170" i="39"/>
  <c r="F206" i="39"/>
  <c r="G206" i="39" s="1"/>
  <c r="I350" i="39"/>
  <c r="I157" i="39"/>
  <c r="I171" i="39" s="1"/>
  <c r="I194" i="39"/>
  <c r="I216" i="39" s="1"/>
  <c r="M350" i="39"/>
  <c r="M370" i="39" s="1"/>
  <c r="M384" i="39" s="1"/>
  <c r="M157" i="39"/>
  <c r="M171" i="39" s="1"/>
  <c r="M194" i="39"/>
  <c r="M216" i="39" s="1"/>
  <c r="F152" i="39"/>
  <c r="F211" i="39"/>
  <c r="G211" i="39" s="1"/>
  <c r="H234" i="39"/>
  <c r="F398" i="39"/>
  <c r="G398" i="39" s="1"/>
  <c r="G364" i="39" s="1"/>
  <c r="F364" i="39"/>
  <c r="K419" i="39"/>
  <c r="K365" i="39"/>
  <c r="F420" i="39"/>
  <c r="F366" i="39"/>
  <c r="K420" i="39"/>
  <c r="K366" i="39"/>
  <c r="F401" i="39"/>
  <c r="G401" i="39" s="1"/>
  <c r="G367" i="39" s="1"/>
  <c r="F367" i="39"/>
  <c r="J421" i="39"/>
  <c r="J367" i="39"/>
  <c r="N421" i="39"/>
  <c r="N367" i="39"/>
  <c r="K334" i="39"/>
  <c r="J335" i="39"/>
  <c r="I336" i="39"/>
  <c r="I394" i="39" s="1"/>
  <c r="M336" i="39"/>
  <c r="M394" i="39" s="1"/>
  <c r="F187" i="39"/>
  <c r="G187" i="39" s="1"/>
  <c r="G153" i="39" s="1"/>
  <c r="F153" i="39"/>
  <c r="J350" i="39"/>
  <c r="J370" i="39" s="1"/>
  <c r="J384" i="39" s="1"/>
  <c r="J194" i="39"/>
  <c r="J216" i="39" s="1"/>
  <c r="N350" i="39"/>
  <c r="N370" i="39" s="1"/>
  <c r="N384" i="39" s="1"/>
  <c r="N194" i="39"/>
  <c r="N216" i="39" s="1"/>
  <c r="I355" i="39"/>
  <c r="I447" i="39" s="1"/>
  <c r="I234" i="39"/>
  <c r="I244" i="39" s="1"/>
  <c r="M355" i="39"/>
  <c r="M447" i="39" s="1"/>
  <c r="M234" i="39"/>
  <c r="M244" i="39" s="1"/>
  <c r="H147" i="39"/>
  <c r="L147" i="39"/>
  <c r="I179" i="39"/>
  <c r="H180" i="39"/>
  <c r="H198" i="39" s="1"/>
  <c r="H194" i="39"/>
  <c r="H216" i="39" s="1"/>
  <c r="L234" i="39"/>
  <c r="N377" i="39"/>
  <c r="H169" i="39"/>
  <c r="L169" i="39"/>
  <c r="I170" i="39"/>
  <c r="M170" i="39"/>
  <c r="F193" i="39"/>
  <c r="F213" i="39" s="1"/>
  <c r="G213" i="39" s="1"/>
  <c r="H244" i="39"/>
  <c r="L244" i="39"/>
  <c r="H399" i="39"/>
  <c r="F341" i="39"/>
  <c r="L419" i="39"/>
  <c r="L365" i="39"/>
  <c r="H407" i="39"/>
  <c r="H429" i="39" s="1"/>
  <c r="F349" i="39"/>
  <c r="L407" i="39"/>
  <c r="L429" i="39" s="1"/>
  <c r="I367" i="39"/>
  <c r="I169" i="39"/>
  <c r="J170" i="39"/>
  <c r="I418" i="39"/>
  <c r="I364" i="39"/>
  <c r="M418" i="39"/>
  <c r="M364" i="39"/>
  <c r="F397" i="39"/>
  <c r="G397" i="39" s="1"/>
  <c r="G363" i="39" s="1"/>
  <c r="G404" i="39"/>
  <c r="F404" i="39" s="1"/>
  <c r="F424" i="39" s="1"/>
  <c r="G424" i="39" s="1"/>
  <c r="F346" i="39"/>
  <c r="J363" i="39"/>
  <c r="J377" i="39" s="1"/>
  <c r="J46" i="39" s="1"/>
  <c r="J366" i="39"/>
  <c r="F348" i="39"/>
  <c r="K363" i="39"/>
  <c r="K377" i="39" s="1"/>
  <c r="J407" i="39"/>
  <c r="J429" i="39" s="1"/>
  <c r="H363" i="39"/>
  <c r="H377" i="39" s="1"/>
  <c r="H46" i="39" s="1"/>
  <c r="L363" i="39"/>
  <c r="L377" i="39" s="1"/>
  <c r="L46" i="39" s="1"/>
  <c r="J364" i="39"/>
  <c r="N364" i="39"/>
  <c r="I365" i="39"/>
  <c r="M365" i="39"/>
  <c r="H366" i="39"/>
  <c r="L366" i="39"/>
  <c r="K367" i="39"/>
  <c r="L383" i="39"/>
  <c r="H383" i="39"/>
  <c r="H47" i="39" s="1"/>
  <c r="K383" i="39"/>
  <c r="G383" i="39"/>
  <c r="N383" i="39"/>
  <c r="J383" i="39"/>
  <c r="L421" i="39"/>
  <c r="K407" i="39"/>
  <c r="K429" i="39" s="1"/>
  <c r="I363" i="39"/>
  <c r="I377" i="39" s="1"/>
  <c r="M363" i="39"/>
  <c r="M377" i="39" s="1"/>
  <c r="M46" i="39" s="1"/>
  <c r="K364" i="39"/>
  <c r="J365" i="39"/>
  <c r="I366" i="39"/>
  <c r="M366" i="39"/>
  <c r="H367" i="39"/>
  <c r="I383" i="39"/>
  <c r="I382" i="39"/>
  <c r="M382" i="39"/>
  <c r="J382" i="39"/>
  <c r="N382" i="39"/>
  <c r="G382" i="39"/>
  <c r="H457" i="39"/>
  <c r="L457" i="39"/>
  <c r="I457" i="39"/>
  <c r="M457" i="39"/>
  <c r="J457" i="39"/>
  <c r="I172" i="39" l="1"/>
  <c r="N407" i="39"/>
  <c r="N429" i="39" s="1"/>
  <c r="K172" i="38"/>
  <c r="I46" i="39"/>
  <c r="J54" i="37"/>
  <c r="K46" i="39"/>
  <c r="O57" i="37"/>
  <c r="G407" i="39"/>
  <c r="K202" i="37"/>
  <c r="K52" i="37"/>
  <c r="F278" i="38"/>
  <c r="G278" i="38" s="1"/>
  <c r="N147" i="39"/>
  <c r="F358" i="40"/>
  <c r="G262" i="41"/>
  <c r="F383" i="39"/>
  <c r="H270" i="41"/>
  <c r="M374" i="39"/>
  <c r="L257" i="38"/>
  <c r="N260" i="41"/>
  <c r="K53" i="37"/>
  <c r="L376" i="39"/>
  <c r="L71" i="38"/>
  <c r="K362" i="39"/>
  <c r="K263" i="41"/>
  <c r="J52" i="37"/>
  <c r="I147" i="39"/>
  <c r="N47" i="39"/>
  <c r="N46" i="39"/>
  <c r="I374" i="39"/>
  <c r="H257" i="38"/>
  <c r="J147" i="39"/>
  <c r="G261" i="41"/>
  <c r="M407" i="39"/>
  <c r="M429" i="39" s="1"/>
  <c r="I47" i="39"/>
  <c r="F207" i="39"/>
  <c r="G207" i="39" s="1"/>
  <c r="N57" i="37"/>
  <c r="Q54" i="37"/>
  <c r="Q57" i="37"/>
  <c r="L263" i="41"/>
  <c r="G60" i="39"/>
  <c r="F60" i="39" s="1"/>
  <c r="K47" i="39"/>
  <c r="J47" i="39"/>
  <c r="M47" i="39"/>
  <c r="J172" i="39"/>
  <c r="M357" i="37"/>
  <c r="L259" i="41"/>
  <c r="L57" i="37"/>
  <c r="I77" i="41"/>
  <c r="I80" i="41" s="1"/>
  <c r="I4" i="41" s="1"/>
  <c r="N379" i="40"/>
  <c r="N400" i="40" s="1"/>
  <c r="M379" i="41"/>
  <c r="M400" i="41" s="1"/>
  <c r="N378" i="41"/>
  <c r="N399" i="41" s="1"/>
  <c r="H378" i="40"/>
  <c r="H399" i="40" s="1"/>
  <c r="M378" i="40"/>
  <c r="M399" i="40" s="1"/>
  <c r="H67" i="37"/>
  <c r="H71" i="37" s="1"/>
  <c r="K159" i="37"/>
  <c r="K174" i="37" s="1"/>
  <c r="K97" i="37" s="1"/>
  <c r="K96" i="37" s="1"/>
  <c r="K91" i="37" s="1"/>
  <c r="H58" i="37"/>
  <c r="H63" i="37"/>
  <c r="J375" i="37"/>
  <c r="L159" i="37"/>
  <c r="L181" i="37" s="1"/>
  <c r="L161" i="37"/>
  <c r="L182" i="37" s="1"/>
  <c r="L199" i="37" s="1"/>
  <c r="L200" i="37" s="1"/>
  <c r="J159" i="37"/>
  <c r="J181" i="37" s="1"/>
  <c r="P357" i="37"/>
  <c r="P359" i="37"/>
  <c r="P376" i="37" s="1"/>
  <c r="P377" i="37" s="1"/>
  <c r="P398" i="37" s="1"/>
  <c r="J51" i="37"/>
  <c r="J174" i="37"/>
  <c r="J97" i="37" s="1"/>
  <c r="J96" i="37" s="1"/>
  <c r="J91" i="37" s="1"/>
  <c r="O473" i="37"/>
  <c r="F26" i="37"/>
  <c r="F190" i="37"/>
  <c r="K208" i="37"/>
  <c r="K106" i="37" s="1"/>
  <c r="K93" i="37"/>
  <c r="J200" i="37"/>
  <c r="M410" i="37"/>
  <c r="M430" i="37" s="1"/>
  <c r="M58" i="37" s="1"/>
  <c r="O482" i="37"/>
  <c r="K54" i="37"/>
  <c r="J93" i="37"/>
  <c r="K309" i="37"/>
  <c r="L374" i="37"/>
  <c r="L378" i="37" s="1"/>
  <c r="L399" i="37" s="1"/>
  <c r="G457" i="37"/>
  <c r="G327" i="37" s="1"/>
  <c r="F327" i="37" s="1"/>
  <c r="O58" i="37"/>
  <c r="H54" i="37"/>
  <c r="L208" i="37"/>
  <c r="L106" i="37" s="1"/>
  <c r="L93" i="37"/>
  <c r="L51" i="37"/>
  <c r="K51" i="37"/>
  <c r="K374" i="37"/>
  <c r="K378" i="37" s="1"/>
  <c r="K399" i="37" s="1"/>
  <c r="G161" i="37"/>
  <c r="G182" i="37" s="1"/>
  <c r="G199" i="37" s="1"/>
  <c r="G200" i="37" s="1"/>
  <c r="H358" i="37"/>
  <c r="I161" i="37"/>
  <c r="I182" i="37" s="1"/>
  <c r="P159" i="37"/>
  <c r="P181" i="37" s="1"/>
  <c r="P197" i="37" s="1"/>
  <c r="P201" i="37" s="1"/>
  <c r="F143" i="37"/>
  <c r="J379" i="40"/>
  <c r="J400" i="40" s="1"/>
  <c r="M198" i="40"/>
  <c r="M201" i="40"/>
  <c r="M174" i="40"/>
  <c r="M97" i="40" s="1"/>
  <c r="M96" i="40" s="1"/>
  <c r="M91" i="40" s="1"/>
  <c r="K379" i="40"/>
  <c r="K400" i="40" s="1"/>
  <c r="I378" i="40"/>
  <c r="I399" i="40" s="1"/>
  <c r="L159" i="40"/>
  <c r="L174" i="40" s="1"/>
  <c r="L97" i="40" s="1"/>
  <c r="L96" i="40" s="1"/>
  <c r="L91" i="40" s="1"/>
  <c r="N200" i="40"/>
  <c r="H159" i="40"/>
  <c r="H181" i="40" s="1"/>
  <c r="J200" i="40"/>
  <c r="J198" i="40"/>
  <c r="M377" i="40"/>
  <c r="M398" i="40" s="1"/>
  <c r="M415" i="40" s="1"/>
  <c r="M416" i="40" s="1"/>
  <c r="M48" i="40" s="1"/>
  <c r="G378" i="40"/>
  <c r="G399" i="40" s="1"/>
  <c r="N379" i="41"/>
  <c r="N400" i="41" s="1"/>
  <c r="G260" i="41"/>
  <c r="L262" i="41"/>
  <c r="H272" i="41"/>
  <c r="K261" i="41"/>
  <c r="L268" i="41"/>
  <c r="L261" i="41"/>
  <c r="H269" i="41"/>
  <c r="J260" i="41"/>
  <c r="H261" i="41"/>
  <c r="N263" i="41"/>
  <c r="M259" i="41"/>
  <c r="M261" i="41"/>
  <c r="M263" i="41"/>
  <c r="M269" i="41"/>
  <c r="M271" i="41"/>
  <c r="N268" i="41"/>
  <c r="N270" i="41"/>
  <c r="N272" i="41"/>
  <c r="K269" i="41"/>
  <c r="K271" i="41"/>
  <c r="L260" i="41"/>
  <c r="J263" i="41"/>
  <c r="K259" i="41"/>
  <c r="K264" i="41" s="1"/>
  <c r="K265" i="41" s="1"/>
  <c r="H262" i="41"/>
  <c r="L270" i="41"/>
  <c r="J262" i="41"/>
  <c r="H271" i="41"/>
  <c r="H259" i="41"/>
  <c r="N261" i="41"/>
  <c r="L269" i="41"/>
  <c r="I260" i="41"/>
  <c r="I262" i="41"/>
  <c r="I264" i="41" s="1"/>
  <c r="I265" i="41" s="1"/>
  <c r="I268" i="41"/>
  <c r="I273" i="41" s="1"/>
  <c r="I274" i="41" s="1"/>
  <c r="I160" i="41" s="1"/>
  <c r="I163" i="41" s="1"/>
  <c r="I184" i="41" s="1"/>
  <c r="I270" i="41"/>
  <c r="I272" i="41"/>
  <c r="J269" i="41"/>
  <c r="J271" i="41"/>
  <c r="G268" i="41"/>
  <c r="G273" i="41" s="1"/>
  <c r="G274" i="41" s="1"/>
  <c r="G160" i="41" s="1"/>
  <c r="G163" i="41" s="1"/>
  <c r="G184" i="41" s="1"/>
  <c r="G270" i="41"/>
  <c r="G272" i="41"/>
  <c r="J261" i="41"/>
  <c r="H268" i="41"/>
  <c r="H260" i="41"/>
  <c r="N262" i="41"/>
  <c r="L272" i="41"/>
  <c r="G263" i="41"/>
  <c r="G264" i="41" s="1"/>
  <c r="G265" i="41" s="1"/>
  <c r="G158" i="41" s="1"/>
  <c r="G259" i="41"/>
  <c r="N259" i="41"/>
  <c r="K262" i="41"/>
  <c r="L271" i="41"/>
  <c r="L273" i="41" s="1"/>
  <c r="L274" i="41" s="1"/>
  <c r="M260" i="41"/>
  <c r="M262" i="41"/>
  <c r="M264" i="41" s="1"/>
  <c r="M265" i="41" s="1"/>
  <c r="M268" i="41"/>
  <c r="M273" i="41" s="1"/>
  <c r="M274" i="41" s="1"/>
  <c r="M270" i="41"/>
  <c r="M272" i="41"/>
  <c r="N269" i="41"/>
  <c r="N271" i="41"/>
  <c r="K268" i="41"/>
  <c r="K273" i="41" s="1"/>
  <c r="K274" i="41" s="1"/>
  <c r="K160" i="41" s="1"/>
  <c r="K270" i="41"/>
  <c r="M378" i="41"/>
  <c r="M399" i="41" s="1"/>
  <c r="J375" i="41"/>
  <c r="H264" i="41"/>
  <c r="H265" i="41" s="1"/>
  <c r="N202" i="41"/>
  <c r="K378" i="41"/>
  <c r="K399" i="41" s="1"/>
  <c r="J273" i="41"/>
  <c r="J274" i="41" s="1"/>
  <c r="J160" i="41" s="1"/>
  <c r="L200" i="41"/>
  <c r="M161" i="41"/>
  <c r="M182" i="41" s="1"/>
  <c r="M199" i="41" s="1"/>
  <c r="L375" i="41"/>
  <c r="L397" i="41" s="1"/>
  <c r="L413" i="41" s="1"/>
  <c r="L417" i="41" s="1"/>
  <c r="H159" i="41"/>
  <c r="K397" i="41"/>
  <c r="N397" i="41"/>
  <c r="M415" i="41"/>
  <c r="N415" i="41"/>
  <c r="I374" i="41"/>
  <c r="I378" i="41" s="1"/>
  <c r="I399" i="41" s="1"/>
  <c r="F358" i="41"/>
  <c r="H80" i="41"/>
  <c r="H71" i="41"/>
  <c r="H74" i="41"/>
  <c r="H75" i="41" s="1"/>
  <c r="H374" i="41"/>
  <c r="H378" i="41" s="1"/>
  <c r="H399" i="41" s="1"/>
  <c r="M413" i="41"/>
  <c r="M414" i="41" s="1"/>
  <c r="L322" i="41"/>
  <c r="L51" i="41"/>
  <c r="K322" i="41"/>
  <c r="K51" i="41"/>
  <c r="L159" i="41"/>
  <c r="G426" i="41"/>
  <c r="F426" i="41" s="1"/>
  <c r="F408" i="41"/>
  <c r="F406" i="41"/>
  <c r="G424" i="41"/>
  <c r="F427" i="41"/>
  <c r="F57" i="41" s="1"/>
  <c r="G57" i="41"/>
  <c r="N322" i="41"/>
  <c r="N51" i="41"/>
  <c r="F410" i="41"/>
  <c r="G430" i="41"/>
  <c r="F403" i="41"/>
  <c r="G421" i="41"/>
  <c r="G425" i="41"/>
  <c r="F425" i="41" s="1"/>
  <c r="F407" i="41"/>
  <c r="G420" i="41"/>
  <c r="F402" i="41"/>
  <c r="M76" i="41"/>
  <c r="M78" i="41" s="1"/>
  <c r="M79" i="41"/>
  <c r="N71" i="41"/>
  <c r="N74" i="41"/>
  <c r="N75" i="41" s="1"/>
  <c r="F203" i="41"/>
  <c r="G106" i="41"/>
  <c r="F106" i="41" s="1"/>
  <c r="L71" i="41"/>
  <c r="L74" i="41"/>
  <c r="L75" i="41" s="1"/>
  <c r="H322" i="41"/>
  <c r="H51" i="41"/>
  <c r="N159" i="41"/>
  <c r="L357" i="41"/>
  <c r="L359" i="41"/>
  <c r="I322" i="41"/>
  <c r="I51" i="41"/>
  <c r="J159" i="41"/>
  <c r="M181" i="41"/>
  <c r="G419" i="41"/>
  <c r="F401" i="41"/>
  <c r="G309" i="41"/>
  <c r="J322" i="41"/>
  <c r="J51" i="41"/>
  <c r="M322" i="41"/>
  <c r="M51" i="41"/>
  <c r="L79" i="40"/>
  <c r="L76" i="40"/>
  <c r="L78" i="40" s="1"/>
  <c r="J415" i="40"/>
  <c r="J416" i="40" s="1"/>
  <c r="H79" i="40"/>
  <c r="H76" i="40"/>
  <c r="H78" i="40" s="1"/>
  <c r="J76" i="40"/>
  <c r="J78" i="40" s="1"/>
  <c r="J79" i="40"/>
  <c r="N415" i="40"/>
  <c r="N416" i="40" s="1"/>
  <c r="H413" i="40"/>
  <c r="H414" i="40" s="1"/>
  <c r="G426" i="40"/>
  <c r="F426" i="40" s="1"/>
  <c r="F408" i="40"/>
  <c r="K197" i="40"/>
  <c r="K201" i="40" s="1"/>
  <c r="F205" i="40"/>
  <c r="G106" i="40"/>
  <c r="L374" i="40"/>
  <c r="L378" i="40" s="1"/>
  <c r="L399" i="40" s="1"/>
  <c r="K71" i="40"/>
  <c r="K74" i="40"/>
  <c r="K75" i="40" s="1"/>
  <c r="M202" i="40"/>
  <c r="F401" i="40"/>
  <c r="G419" i="40"/>
  <c r="G309" i="40"/>
  <c r="M180" i="40"/>
  <c r="I197" i="40"/>
  <c r="I201" i="40" s="1"/>
  <c r="N322" i="40"/>
  <c r="N51" i="40"/>
  <c r="L322" i="40"/>
  <c r="L51" i="40"/>
  <c r="K161" i="40"/>
  <c r="L200" i="40"/>
  <c r="N76" i="40"/>
  <c r="N78" i="40" s="1"/>
  <c r="N79" i="40"/>
  <c r="L377" i="40"/>
  <c r="L398" i="40" s="1"/>
  <c r="J322" i="40"/>
  <c r="J51" i="40"/>
  <c r="F402" i="40"/>
  <c r="G420" i="40"/>
  <c r="K415" i="40"/>
  <c r="K416" i="40" s="1"/>
  <c r="G427" i="40"/>
  <c r="F409" i="40"/>
  <c r="G425" i="40"/>
  <c r="F425" i="40" s="1"/>
  <c r="F407" i="40"/>
  <c r="G183" i="40"/>
  <c r="F162" i="40"/>
  <c r="F410" i="40"/>
  <c r="G430" i="40"/>
  <c r="I322" i="40"/>
  <c r="I51" i="40"/>
  <c r="G421" i="40"/>
  <c r="F403" i="40"/>
  <c r="G424" i="40"/>
  <c r="F406" i="40"/>
  <c r="H106" i="40"/>
  <c r="F203" i="40"/>
  <c r="M74" i="40"/>
  <c r="M75" i="40" s="1"/>
  <c r="M71" i="40"/>
  <c r="H322" i="40"/>
  <c r="H51" i="40"/>
  <c r="M413" i="40"/>
  <c r="K322" i="40"/>
  <c r="K51" i="40"/>
  <c r="K272" i="40"/>
  <c r="G272" i="40"/>
  <c r="M272" i="40"/>
  <c r="H272" i="40"/>
  <c r="K271" i="40"/>
  <c r="G271" i="40"/>
  <c r="K270" i="40"/>
  <c r="G270" i="40"/>
  <c r="K269" i="40"/>
  <c r="G269" i="40"/>
  <c r="K268" i="40"/>
  <c r="G268" i="40"/>
  <c r="K263" i="40"/>
  <c r="G263" i="40"/>
  <c r="K262" i="40"/>
  <c r="G262" i="40"/>
  <c r="K261" i="40"/>
  <c r="G261" i="40"/>
  <c r="K260" i="40"/>
  <c r="G260" i="40"/>
  <c r="K259" i="40"/>
  <c r="G259" i="40"/>
  <c r="L272" i="40"/>
  <c r="N271" i="40"/>
  <c r="J271" i="40"/>
  <c r="N270" i="40"/>
  <c r="J270" i="40"/>
  <c r="N269" i="40"/>
  <c r="J269" i="40"/>
  <c r="N268" i="40"/>
  <c r="J268" i="40"/>
  <c r="N263" i="40"/>
  <c r="J263" i="40"/>
  <c r="N262" i="40"/>
  <c r="J262" i="40"/>
  <c r="N261" i="40"/>
  <c r="J261" i="40"/>
  <c r="N260" i="40"/>
  <c r="J260" i="40"/>
  <c r="N259" i="40"/>
  <c r="J259" i="40"/>
  <c r="J272" i="40"/>
  <c r="M271" i="40"/>
  <c r="I271" i="40"/>
  <c r="M270" i="40"/>
  <c r="I270" i="40"/>
  <c r="M269" i="40"/>
  <c r="I269" i="40"/>
  <c r="M268" i="40"/>
  <c r="I268" i="40"/>
  <c r="M263" i="40"/>
  <c r="I263" i="40"/>
  <c r="M262" i="40"/>
  <c r="I262" i="40"/>
  <c r="M261" i="40"/>
  <c r="I261" i="40"/>
  <c r="M260" i="40"/>
  <c r="I260" i="40"/>
  <c r="M259" i="40"/>
  <c r="I259" i="40"/>
  <c r="H271" i="40"/>
  <c r="H269" i="40"/>
  <c r="H263" i="40"/>
  <c r="H261" i="40"/>
  <c r="H259" i="40"/>
  <c r="N272" i="40"/>
  <c r="L270" i="40"/>
  <c r="L268" i="40"/>
  <c r="L262" i="40"/>
  <c r="L260" i="40"/>
  <c r="I272" i="40"/>
  <c r="H270" i="40"/>
  <c r="H268" i="40"/>
  <c r="H262" i="40"/>
  <c r="H260" i="40"/>
  <c r="L271" i="40"/>
  <c r="L261" i="40"/>
  <c r="L269" i="40"/>
  <c r="L259" i="40"/>
  <c r="L263" i="40"/>
  <c r="N197" i="40"/>
  <c r="N201" i="40" s="1"/>
  <c r="F209" i="40"/>
  <c r="K374" i="40"/>
  <c r="K378" i="40" s="1"/>
  <c r="K399" i="40" s="1"/>
  <c r="J374" i="40"/>
  <c r="J378" i="40" s="1"/>
  <c r="J399" i="40" s="1"/>
  <c r="G159" i="40"/>
  <c r="M322" i="40"/>
  <c r="M51" i="40"/>
  <c r="N374" i="40"/>
  <c r="N378" i="40" s="1"/>
  <c r="N399" i="40" s="1"/>
  <c r="J96" i="39"/>
  <c r="J95" i="39" s="1"/>
  <c r="J124" i="39"/>
  <c r="J182" i="39"/>
  <c r="I396" i="39"/>
  <c r="L47" i="39"/>
  <c r="M360" i="39"/>
  <c r="H396" i="39"/>
  <c r="K392" i="39"/>
  <c r="K361" i="39"/>
  <c r="F418" i="39"/>
  <c r="G418" i="39" s="1"/>
  <c r="F205" i="39"/>
  <c r="G205" i="39" s="1"/>
  <c r="F180" i="39"/>
  <c r="G198" i="39"/>
  <c r="G199" i="39" s="1"/>
  <c r="F199" i="39" s="1"/>
  <c r="H196" i="39"/>
  <c r="H197" i="39" s="1"/>
  <c r="F336" i="39"/>
  <c r="N497" i="39"/>
  <c r="N489" i="39" s="1"/>
  <c r="N480" i="39"/>
  <c r="N471" i="39"/>
  <c r="H172" i="39"/>
  <c r="N374" i="39"/>
  <c r="Q181" i="37"/>
  <c r="I181" i="37"/>
  <c r="F399" i="39"/>
  <c r="G399" i="39" s="1"/>
  <c r="G365" i="39" s="1"/>
  <c r="F419" i="39"/>
  <c r="G419" i="39" s="1"/>
  <c r="F365" i="39"/>
  <c r="F170" i="39"/>
  <c r="I196" i="39"/>
  <c r="I197" i="39" s="1"/>
  <c r="I407" i="39"/>
  <c r="I429" i="39" s="1"/>
  <c r="I370" i="39"/>
  <c r="I384" i="39" s="1"/>
  <c r="N396" i="39"/>
  <c r="F394" i="39"/>
  <c r="I410" i="39"/>
  <c r="I409" i="39"/>
  <c r="I183" i="39"/>
  <c r="N362" i="39"/>
  <c r="N376" i="39" s="1"/>
  <c r="N393" i="39"/>
  <c r="N411" i="39" s="1"/>
  <c r="M181" i="37"/>
  <c r="I182" i="39"/>
  <c r="I96" i="39"/>
  <c r="I95" i="39" s="1"/>
  <c r="I124" i="39"/>
  <c r="H419" i="39"/>
  <c r="H365" i="39"/>
  <c r="L360" i="39"/>
  <c r="L172" i="39"/>
  <c r="F234" i="39"/>
  <c r="G244" i="39"/>
  <c r="F244" i="39" s="1"/>
  <c r="L183" i="39"/>
  <c r="L196" i="39"/>
  <c r="L197" i="39" s="1"/>
  <c r="J396" i="39"/>
  <c r="M409" i="39"/>
  <c r="M410" i="39" s="1"/>
  <c r="G361" i="39"/>
  <c r="F334" i="39"/>
  <c r="G392" i="39"/>
  <c r="J374" i="39"/>
  <c r="H260" i="38"/>
  <c r="H216" i="38" s="1"/>
  <c r="F149" i="39"/>
  <c r="I374" i="37"/>
  <c r="I375" i="37" s="1"/>
  <c r="I376" i="37"/>
  <c r="I377" i="37" s="1"/>
  <c r="I398" i="37" s="1"/>
  <c r="N199" i="37"/>
  <c r="N202" i="37" s="1"/>
  <c r="O358" i="37"/>
  <c r="O357" i="37"/>
  <c r="O197" i="37"/>
  <c r="O201" i="37" s="1"/>
  <c r="Q376" i="37"/>
  <c r="Q377" i="37" s="1"/>
  <c r="Q398" i="37" s="1"/>
  <c r="F382" i="39"/>
  <c r="G47" i="39"/>
  <c r="F47" i="39" s="1"/>
  <c r="F417" i="39"/>
  <c r="G417" i="39" s="1"/>
  <c r="F169" i="39"/>
  <c r="L396" i="39"/>
  <c r="J362" i="39"/>
  <c r="J376" i="39" s="1"/>
  <c r="J393" i="39"/>
  <c r="J411" i="39" s="1"/>
  <c r="F335" i="39"/>
  <c r="F421" i="39"/>
  <c r="G421" i="39" s="1"/>
  <c r="G420" i="39"/>
  <c r="N182" i="39"/>
  <c r="N96" i="39"/>
  <c r="N95" i="39" s="1"/>
  <c r="N124" i="39"/>
  <c r="M161" i="39"/>
  <c r="M172" i="39" s="1"/>
  <c r="M147" i="39"/>
  <c r="G447" i="39"/>
  <c r="F355" i="39"/>
  <c r="H183" i="39"/>
  <c r="M183" i="39"/>
  <c r="I360" i="39"/>
  <c r="M338" i="39"/>
  <c r="J497" i="39"/>
  <c r="J489" i="39" s="1"/>
  <c r="J480" i="39"/>
  <c r="J471" i="39"/>
  <c r="I419" i="37"/>
  <c r="I309" i="37"/>
  <c r="M376" i="37"/>
  <c r="M377" i="37" s="1"/>
  <c r="M398" i="37" s="1"/>
  <c r="M376" i="39"/>
  <c r="M385" i="39" s="1"/>
  <c r="N409" i="39"/>
  <c r="N410" i="39" s="1"/>
  <c r="L260" i="38"/>
  <c r="L216" i="38" s="1"/>
  <c r="K396" i="39"/>
  <c r="K130" i="38"/>
  <c r="K131" i="38" s="1"/>
  <c r="K71" i="38"/>
  <c r="G384" i="39"/>
  <c r="J132" i="38"/>
  <c r="J79" i="38" s="1"/>
  <c r="J74" i="38"/>
  <c r="J75" i="38"/>
  <c r="J73" i="38"/>
  <c r="K275" i="38"/>
  <c r="K276" i="38"/>
  <c r="H273" i="38"/>
  <c r="H274" i="38" s="1"/>
  <c r="K83" i="38"/>
  <c r="F45" i="38"/>
  <c r="F125" i="39"/>
  <c r="G171" i="39"/>
  <c r="F171" i="39" s="1"/>
  <c r="F157" i="39"/>
  <c r="J112" i="38"/>
  <c r="J234" i="38"/>
  <c r="J114" i="38"/>
  <c r="F281" i="38"/>
  <c r="G281" i="38" s="1"/>
  <c r="F137" i="38"/>
  <c r="G137" i="38" s="1"/>
  <c r="K162" i="38"/>
  <c r="N158" i="37"/>
  <c r="N162" i="37" s="1"/>
  <c r="N183" i="37" s="1"/>
  <c r="H374" i="37"/>
  <c r="H378" i="37" s="1"/>
  <c r="H399" i="37" s="1"/>
  <c r="H376" i="37"/>
  <c r="H379" i="37" s="1"/>
  <c r="H400" i="37" s="1"/>
  <c r="F141" i="37"/>
  <c r="I199" i="37"/>
  <c r="I202" i="37" s="1"/>
  <c r="G386" i="37"/>
  <c r="G407" i="37" s="1"/>
  <c r="F368" i="37"/>
  <c r="G387" i="37"/>
  <c r="G408" i="37" s="1"/>
  <c r="F369" i="37"/>
  <c r="G210" i="37"/>
  <c r="F210" i="37" s="1"/>
  <c r="F192" i="37"/>
  <c r="G411" i="39"/>
  <c r="G412" i="39" s="1"/>
  <c r="F412" i="39" s="1"/>
  <c r="F393" i="39"/>
  <c r="L409" i="39"/>
  <c r="L410" i="39" s="1"/>
  <c r="N333" i="37"/>
  <c r="F333" i="37" s="1"/>
  <c r="Q93" i="37"/>
  <c r="M358" i="37"/>
  <c r="I162" i="37"/>
  <c r="I183" i="37" s="1"/>
  <c r="O93" i="37"/>
  <c r="F209" i="37"/>
  <c r="N93" i="37"/>
  <c r="K497" i="39"/>
  <c r="K489" i="39" s="1"/>
  <c r="K480" i="39"/>
  <c r="K471" i="39"/>
  <c r="G480" i="39"/>
  <c r="G471" i="39"/>
  <c r="G497" i="39"/>
  <c r="G489" i="39" s="1"/>
  <c r="F194" i="39"/>
  <c r="F216" i="39" s="1"/>
  <c r="G216" i="39" s="1"/>
  <c r="F318" i="38"/>
  <c r="F271" i="38"/>
  <c r="F290" i="38" s="1"/>
  <c r="G290" i="38" s="1"/>
  <c r="J172" i="38"/>
  <c r="J83" i="38" s="1"/>
  <c r="F258" i="38"/>
  <c r="I112" i="38"/>
  <c r="I234" i="38"/>
  <c r="F234" i="38" s="1"/>
  <c r="I114" i="38"/>
  <c r="G158" i="37"/>
  <c r="G162" i="37" s="1"/>
  <c r="F142" i="37"/>
  <c r="O376" i="37"/>
  <c r="O377" i="37" s="1"/>
  <c r="O398" i="37" s="1"/>
  <c r="G204" i="37"/>
  <c r="F204" i="37" s="1"/>
  <c r="F186" i="37"/>
  <c r="F360" i="37"/>
  <c r="F347" i="37"/>
  <c r="P374" i="37"/>
  <c r="P378" i="37" s="1"/>
  <c r="P399" i="37" s="1"/>
  <c r="I77" i="37"/>
  <c r="I80" i="37" s="1"/>
  <c r="I63" i="37"/>
  <c r="Q106" i="37"/>
  <c r="P161" i="37"/>
  <c r="P182" i="37" s="1"/>
  <c r="O106" i="37"/>
  <c r="F191" i="37"/>
  <c r="N106" i="37"/>
  <c r="F338" i="39"/>
  <c r="K260" i="38"/>
  <c r="L75" i="38"/>
  <c r="L72" i="38" s="1"/>
  <c r="L73" i="38"/>
  <c r="L132" i="38"/>
  <c r="L79" i="38" s="1"/>
  <c r="L74" i="38"/>
  <c r="G40" i="38"/>
  <c r="F40" i="38" s="1"/>
  <c r="L273" i="38"/>
  <c r="L274" i="38" s="1"/>
  <c r="N183" i="39"/>
  <c r="J183" i="39"/>
  <c r="F350" i="39"/>
  <c r="K203" i="39"/>
  <c r="K112" i="39" s="1"/>
  <c r="K107" i="39"/>
  <c r="K106" i="39"/>
  <c r="J260" i="38"/>
  <c r="H71" i="38"/>
  <c r="H130" i="38"/>
  <c r="H131" i="38" s="1"/>
  <c r="G259" i="38"/>
  <c r="O419" i="37"/>
  <c r="O309" i="37"/>
  <c r="K161" i="39"/>
  <c r="K172" i="39" s="1"/>
  <c r="K147" i="39"/>
  <c r="G161" i="39"/>
  <c r="F148" i="39"/>
  <c r="G147" i="39"/>
  <c r="L130" i="38"/>
  <c r="L131" i="38" s="1"/>
  <c r="F133" i="38"/>
  <c r="G133" i="38" s="1"/>
  <c r="I73" i="38"/>
  <c r="I132" i="38"/>
  <c r="I79" i="38" s="1"/>
  <c r="I74" i="38"/>
  <c r="I75" i="38"/>
  <c r="Q419" i="37"/>
  <c r="Q309" i="37"/>
  <c r="Q160" i="37"/>
  <c r="Q163" i="37" s="1"/>
  <c r="Q184" i="37" s="1"/>
  <c r="Q67" i="37"/>
  <c r="Q63" i="37"/>
  <c r="Q77" i="37"/>
  <c r="Q80" i="37" s="1"/>
  <c r="Q4" i="37" s="1"/>
  <c r="G374" i="37"/>
  <c r="G378" i="37" s="1"/>
  <c r="F364" i="37"/>
  <c r="G382" i="37"/>
  <c r="G403" i="37" s="1"/>
  <c r="F194" i="37"/>
  <c r="G214" i="37"/>
  <c r="F214" i="37" s="1"/>
  <c r="P419" i="37"/>
  <c r="P309" i="37"/>
  <c r="L374" i="39"/>
  <c r="H392" i="39"/>
  <c r="H361" i="39"/>
  <c r="O160" i="37"/>
  <c r="O163" i="37" s="1"/>
  <c r="O184" i="37" s="1"/>
  <c r="F348" i="37"/>
  <c r="P93" i="37"/>
  <c r="P203" i="37"/>
  <c r="P106" i="37" s="1"/>
  <c r="I106" i="37"/>
  <c r="M93" i="37"/>
  <c r="Q162" i="37"/>
  <c r="Q183" i="37" s="1"/>
  <c r="Q358" i="37"/>
  <c r="H93" i="37"/>
  <c r="F205" i="37"/>
  <c r="G93" i="37"/>
  <c r="I376" i="39"/>
  <c r="I385" i="39" s="1"/>
  <c r="J410" i="39"/>
  <c r="J409" i="39"/>
  <c r="M497" i="39"/>
  <c r="M489" i="39" s="1"/>
  <c r="M480" i="39"/>
  <c r="M471" i="39"/>
  <c r="I497" i="39"/>
  <c r="I489" i="39" s="1"/>
  <c r="I480" i="39"/>
  <c r="I471" i="39"/>
  <c r="F204" i="39"/>
  <c r="G204" i="39" s="1"/>
  <c r="G19" i="39" s="1"/>
  <c r="F19" i="39" s="1"/>
  <c r="F235" i="38"/>
  <c r="F129" i="38"/>
  <c r="H75" i="38"/>
  <c r="H73" i="38"/>
  <c r="H74" i="38"/>
  <c r="H132" i="38"/>
  <c r="H79" i="38" s="1"/>
  <c r="F54" i="39"/>
  <c r="F282" i="38"/>
  <c r="G282" i="38" s="1"/>
  <c r="H172" i="38"/>
  <c r="H83" i="38" s="1"/>
  <c r="K223" i="38"/>
  <c r="F263" i="38"/>
  <c r="G263" i="38" s="1"/>
  <c r="F173" i="38"/>
  <c r="F135" i="38"/>
  <c r="G135" i="38" s="1"/>
  <c r="K257" i="38"/>
  <c r="H275" i="38"/>
  <c r="H276" i="38"/>
  <c r="H299" i="38" s="1"/>
  <c r="H419" i="37"/>
  <c r="H309" i="37"/>
  <c r="K196" i="39"/>
  <c r="K197" i="39"/>
  <c r="G196" i="39"/>
  <c r="G197" i="39" s="1"/>
  <c r="F179" i="39"/>
  <c r="L275" i="38"/>
  <c r="L276" i="38" s="1"/>
  <c r="L299" i="38" s="1"/>
  <c r="N419" i="37"/>
  <c r="F279" i="38"/>
  <c r="G279" i="38" s="1"/>
  <c r="F115" i="38"/>
  <c r="G115" i="38" s="1"/>
  <c r="I260" i="38"/>
  <c r="G385" i="37"/>
  <c r="G406" i="37" s="1"/>
  <c r="F367" i="37"/>
  <c r="M419" i="37"/>
  <c r="M309" i="37"/>
  <c r="M160" i="37"/>
  <c r="M163" i="37" s="1"/>
  <c r="M184" i="37" s="1"/>
  <c r="F361" i="37"/>
  <c r="M67" i="37"/>
  <c r="M63" i="37"/>
  <c r="M77" i="37"/>
  <c r="M80" i="37" s="1"/>
  <c r="M4" i="37" s="1"/>
  <c r="G380" i="37"/>
  <c r="G401" i="37" s="1"/>
  <c r="F362" i="37"/>
  <c r="G381" i="37"/>
  <c r="G402" i="37" s="1"/>
  <c r="F363" i="37"/>
  <c r="F370" i="37"/>
  <c r="G388" i="37"/>
  <c r="G409" i="37" s="1"/>
  <c r="I357" i="37"/>
  <c r="K376" i="39"/>
  <c r="F193" i="37"/>
  <c r="G211" i="37"/>
  <c r="F211" i="37" s="1"/>
  <c r="H160" i="37"/>
  <c r="H163" i="37" s="1"/>
  <c r="H184" i="37" s="1"/>
  <c r="G184" i="37"/>
  <c r="I93" i="37"/>
  <c r="M106" i="37"/>
  <c r="H106" i="37"/>
  <c r="F187" i="37"/>
  <c r="C5" i="1"/>
  <c r="M25" i="1"/>
  <c r="I29" i="1"/>
  <c r="I31" i="1"/>
  <c r="I33" i="1"/>
  <c r="I34" i="1"/>
  <c r="I35" i="1"/>
  <c r="I36" i="1"/>
  <c r="I37" i="1"/>
  <c r="I38" i="1"/>
  <c r="I39" i="1"/>
  <c r="I40" i="1"/>
  <c r="I41" i="1"/>
  <c r="I42" i="1"/>
  <c r="I43" i="1"/>
  <c r="I44" i="1"/>
  <c r="I46" i="1"/>
  <c r="H36" i="38" l="1"/>
  <c r="H56" i="38" s="1"/>
  <c r="F407" i="39"/>
  <c r="F429" i="39" s="1"/>
  <c r="G429" i="39" s="1"/>
  <c r="H273" i="41"/>
  <c r="H274" i="41" s="1"/>
  <c r="H160" i="41" s="1"/>
  <c r="L264" i="41"/>
  <c r="L265" i="41" s="1"/>
  <c r="I162" i="38"/>
  <c r="L36" i="38"/>
  <c r="L56" i="38" s="1"/>
  <c r="K299" i="38"/>
  <c r="F203" i="37"/>
  <c r="K243" i="39"/>
  <c r="K116" i="39" s="1"/>
  <c r="F362" i="39"/>
  <c r="K181" i="37"/>
  <c r="J360" i="39"/>
  <c r="F370" i="39"/>
  <c r="F147" i="39"/>
  <c r="N476" i="39" s="1"/>
  <c r="N360" i="39"/>
  <c r="F384" i="39"/>
  <c r="N48" i="40"/>
  <c r="M418" i="41"/>
  <c r="I4" i="37"/>
  <c r="N418" i="41"/>
  <c r="N50" i="41" s="1"/>
  <c r="I45" i="1"/>
  <c r="G22" i="41" s="1"/>
  <c r="M390" i="40"/>
  <c r="M16" i="40" s="1"/>
  <c r="M17" i="40" s="1"/>
  <c r="M417" i="40"/>
  <c r="M49" i="40" s="1"/>
  <c r="N418" i="40"/>
  <c r="N50" i="40" s="1"/>
  <c r="H74" i="37"/>
  <c r="H75" i="37" s="1"/>
  <c r="H76" i="37" s="1"/>
  <c r="H78" i="37" s="1"/>
  <c r="N390" i="41"/>
  <c r="N313" i="41" s="1"/>
  <c r="N312" i="41" s="1"/>
  <c r="N307" i="41" s="1"/>
  <c r="I379" i="37"/>
  <c r="I400" i="37" s="1"/>
  <c r="L174" i="37"/>
  <c r="L97" i="37" s="1"/>
  <c r="L96" i="37" s="1"/>
  <c r="L91" i="37" s="1"/>
  <c r="L180" i="37" s="1"/>
  <c r="K375" i="37"/>
  <c r="L202" i="37"/>
  <c r="O379" i="37"/>
  <c r="O400" i="37" s="1"/>
  <c r="J180" i="37"/>
  <c r="G106" i="37"/>
  <c r="F106" i="37" s="1"/>
  <c r="L272" i="37"/>
  <c r="K271" i="37"/>
  <c r="J270" i="37"/>
  <c r="L268" i="37"/>
  <c r="L263" i="37"/>
  <c r="K262" i="37"/>
  <c r="J261" i="37"/>
  <c r="L259" i="37"/>
  <c r="K272" i="37"/>
  <c r="J271" i="37"/>
  <c r="L269" i="37"/>
  <c r="K268" i="37"/>
  <c r="K263" i="37"/>
  <c r="J262" i="37"/>
  <c r="L260" i="37"/>
  <c r="K259" i="37"/>
  <c r="J272" i="37"/>
  <c r="L270" i="37"/>
  <c r="K269" i="37"/>
  <c r="J268" i="37"/>
  <c r="J263" i="37"/>
  <c r="L261" i="37"/>
  <c r="K260" i="37"/>
  <c r="J259" i="37"/>
  <c r="L271" i="37"/>
  <c r="L262" i="37"/>
  <c r="K270" i="37"/>
  <c r="K261" i="37"/>
  <c r="J269" i="37"/>
  <c r="J260" i="37"/>
  <c r="Q161" i="37"/>
  <c r="Q182" i="37" s="1"/>
  <c r="Q199" i="37" s="1"/>
  <c r="Q200" i="37" s="1"/>
  <c r="L375" i="37"/>
  <c r="L54" i="37"/>
  <c r="F208" i="37"/>
  <c r="K180" i="37"/>
  <c r="N200" i="37"/>
  <c r="Q379" i="37"/>
  <c r="Q400" i="37" s="1"/>
  <c r="I378" i="37"/>
  <c r="I399" i="37" s="1"/>
  <c r="M161" i="37"/>
  <c r="M182" i="37" s="1"/>
  <c r="M199" i="37" s="1"/>
  <c r="M200" i="37" s="1"/>
  <c r="G375" i="37"/>
  <c r="P174" i="37"/>
  <c r="P97" i="37" s="1"/>
  <c r="P96" i="37" s="1"/>
  <c r="P91" i="37" s="1"/>
  <c r="P180" i="37" s="1"/>
  <c r="P379" i="37"/>
  <c r="P400" i="37" s="1"/>
  <c r="M379" i="37"/>
  <c r="M400" i="37" s="1"/>
  <c r="P375" i="37"/>
  <c r="P397" i="37" s="1"/>
  <c r="M215" i="40"/>
  <c r="M216" i="40" s="1"/>
  <c r="L181" i="40"/>
  <c r="L197" i="40" s="1"/>
  <c r="L201" i="40" s="1"/>
  <c r="J48" i="40"/>
  <c r="I264" i="40"/>
  <c r="I265" i="40" s="1"/>
  <c r="N264" i="40"/>
  <c r="N265" i="40" s="1"/>
  <c r="G264" i="40"/>
  <c r="G265" i="40" s="1"/>
  <c r="G273" i="40"/>
  <c r="G274" i="40" s="1"/>
  <c r="G160" i="40" s="1"/>
  <c r="G163" i="40" s="1"/>
  <c r="G184" i="40" s="1"/>
  <c r="J418" i="40"/>
  <c r="J50" i="40" s="1"/>
  <c r="J273" i="40"/>
  <c r="J274" i="40" s="1"/>
  <c r="K273" i="40"/>
  <c r="K274" i="40" s="1"/>
  <c r="L264" i="40"/>
  <c r="L265" i="40" s="1"/>
  <c r="H417" i="40"/>
  <c r="J215" i="40"/>
  <c r="J216" i="40" s="1"/>
  <c r="J249" i="40" s="1"/>
  <c r="J252" i="40" s="1"/>
  <c r="L273" i="40"/>
  <c r="L274" i="40" s="1"/>
  <c r="K418" i="40"/>
  <c r="H264" i="40"/>
  <c r="H265" i="40" s="1"/>
  <c r="M273" i="40"/>
  <c r="M274" i="40" s="1"/>
  <c r="J105" i="40"/>
  <c r="J104" i="40" s="1"/>
  <c r="J103" i="40" s="1"/>
  <c r="M264" i="40"/>
  <c r="M265" i="40" s="1"/>
  <c r="J264" i="40"/>
  <c r="J265" i="40" s="1"/>
  <c r="K264" i="40"/>
  <c r="K265" i="40" s="1"/>
  <c r="M414" i="40"/>
  <c r="M47" i="40" s="1"/>
  <c r="N375" i="40"/>
  <c r="N390" i="40" s="1"/>
  <c r="I273" i="40"/>
  <c r="I274" i="40" s="1"/>
  <c r="I160" i="40" s="1"/>
  <c r="N273" i="40"/>
  <c r="N274" i="40" s="1"/>
  <c r="K375" i="40"/>
  <c r="K397" i="40" s="1"/>
  <c r="H273" i="40"/>
  <c r="H274" i="40" s="1"/>
  <c r="H160" i="40" s="1"/>
  <c r="J264" i="41"/>
  <c r="J265" i="41" s="1"/>
  <c r="M174" i="41"/>
  <c r="M97" i="41" s="1"/>
  <c r="M96" i="41" s="1"/>
  <c r="M91" i="41" s="1"/>
  <c r="M180" i="41" s="1"/>
  <c r="M390" i="41"/>
  <c r="M16" i="41" s="1"/>
  <c r="M17" i="41" s="1"/>
  <c r="N264" i="41"/>
  <c r="N265" i="41" s="1"/>
  <c r="N273" i="41"/>
  <c r="N274" i="41" s="1"/>
  <c r="G161" i="41"/>
  <c r="G182" i="41" s="1"/>
  <c r="K163" i="41"/>
  <c r="K184" i="41" s="1"/>
  <c r="K161" i="41"/>
  <c r="K182" i="41" s="1"/>
  <c r="J161" i="41"/>
  <c r="J182" i="41" s="1"/>
  <c r="J163" i="41"/>
  <c r="J184" i="41" s="1"/>
  <c r="H161" i="41"/>
  <c r="H182" i="41" s="1"/>
  <c r="H163" i="41"/>
  <c r="H174" i="41" s="1"/>
  <c r="H97" i="41" s="1"/>
  <c r="H96" i="41" s="1"/>
  <c r="H91" i="41" s="1"/>
  <c r="H180" i="41" s="1"/>
  <c r="I161" i="41"/>
  <c r="I182" i="41" s="1"/>
  <c r="M200" i="41"/>
  <c r="M202" i="41"/>
  <c r="G162" i="41"/>
  <c r="G159" i="41"/>
  <c r="G181" i="41" s="1"/>
  <c r="M417" i="41"/>
  <c r="H375" i="41"/>
  <c r="I375" i="41"/>
  <c r="I397" i="41" s="1"/>
  <c r="M416" i="41"/>
  <c r="H181" i="41"/>
  <c r="F421" i="41"/>
  <c r="F53" i="41" s="1"/>
  <c r="G53" i="41"/>
  <c r="N413" i="41"/>
  <c r="N417" i="41" s="1"/>
  <c r="J181" i="41"/>
  <c r="L414" i="41"/>
  <c r="N416" i="41"/>
  <c r="N48" i="41" s="1"/>
  <c r="L376" i="41"/>
  <c r="L379" i="41" s="1"/>
  <c r="N79" i="41"/>
  <c r="N76" i="41"/>
  <c r="N78" i="41" s="1"/>
  <c r="F430" i="41"/>
  <c r="F58" i="41" s="1"/>
  <c r="G58" i="41"/>
  <c r="L174" i="41"/>
  <c r="L97" i="41" s="1"/>
  <c r="L96" i="41" s="1"/>
  <c r="L91" i="41" s="1"/>
  <c r="L181" i="41"/>
  <c r="H4" i="41"/>
  <c r="F420" i="41"/>
  <c r="F52" i="41" s="1"/>
  <c r="G52" i="41"/>
  <c r="F419" i="41"/>
  <c r="F51" i="41" s="1"/>
  <c r="G322" i="41"/>
  <c r="F322" i="41" s="1"/>
  <c r="G51" i="41"/>
  <c r="M197" i="41"/>
  <c r="M201" i="41" s="1"/>
  <c r="N174" i="41"/>
  <c r="N97" i="41" s="1"/>
  <c r="N96" i="41" s="1"/>
  <c r="N91" i="41" s="1"/>
  <c r="N181" i="41"/>
  <c r="L79" i="41"/>
  <c r="L76" i="41"/>
  <c r="L78" i="41" s="1"/>
  <c r="M6" i="41"/>
  <c r="M81" i="41"/>
  <c r="M5" i="41" s="1"/>
  <c r="F424" i="41"/>
  <c r="F54" i="41" s="1"/>
  <c r="G54" i="41"/>
  <c r="H79" i="41"/>
  <c r="H76" i="41"/>
  <c r="H78" i="41" s="1"/>
  <c r="M249" i="40"/>
  <c r="M252" i="40" s="1"/>
  <c r="M222" i="40"/>
  <c r="M227" i="40" s="1"/>
  <c r="F159" i="40"/>
  <c r="G181" i="40"/>
  <c r="F420" i="40"/>
  <c r="F52" i="40" s="1"/>
  <c r="G52" i="40"/>
  <c r="L415" i="40"/>
  <c r="L418" i="40" s="1"/>
  <c r="L50" i="40" s="1"/>
  <c r="M105" i="40"/>
  <c r="M104" i="40" s="1"/>
  <c r="M103" i="40" s="1"/>
  <c r="H197" i="40"/>
  <c r="H201" i="40" s="1"/>
  <c r="J81" i="40"/>
  <c r="J5" i="40" s="1"/>
  <c r="J6" i="40"/>
  <c r="J222" i="40"/>
  <c r="J227" i="40" s="1"/>
  <c r="F183" i="40"/>
  <c r="N81" i="40"/>
  <c r="N5" i="40" s="1"/>
  <c r="N6" i="40"/>
  <c r="K182" i="40"/>
  <c r="K174" i="40"/>
  <c r="K97" i="40" s="1"/>
  <c r="K96" i="40" s="1"/>
  <c r="K91" i="40" s="1"/>
  <c r="M418" i="40"/>
  <c r="M50" i="40" s="1"/>
  <c r="J375" i="40"/>
  <c r="M76" i="40"/>
  <c r="M78" i="40" s="1"/>
  <c r="M79" i="40"/>
  <c r="F430" i="40"/>
  <c r="F58" i="40" s="1"/>
  <c r="G58" i="40"/>
  <c r="L375" i="40"/>
  <c r="K198" i="40"/>
  <c r="F399" i="40"/>
  <c r="N198" i="40"/>
  <c r="F424" i="40"/>
  <c r="F54" i="40" s="1"/>
  <c r="G54" i="40"/>
  <c r="F421" i="40"/>
  <c r="F53" i="40" s="1"/>
  <c r="G53" i="40"/>
  <c r="L180" i="40"/>
  <c r="F427" i="40"/>
  <c r="F57" i="40" s="1"/>
  <c r="G57" i="40"/>
  <c r="I198" i="40"/>
  <c r="F419" i="40"/>
  <c r="F51" i="40" s="1"/>
  <c r="G322" i="40"/>
  <c r="F322" i="40" s="1"/>
  <c r="G51" i="40"/>
  <c r="K76" i="40"/>
  <c r="K78" i="40" s="1"/>
  <c r="K79" i="40"/>
  <c r="F106" i="40"/>
  <c r="F378" i="40"/>
  <c r="H81" i="40"/>
  <c r="H5" i="40" s="1"/>
  <c r="H6" i="40"/>
  <c r="L81" i="40"/>
  <c r="L5" i="40" s="1"/>
  <c r="L6" i="40"/>
  <c r="H147" i="38"/>
  <c r="H38" i="38"/>
  <c r="H78" i="38"/>
  <c r="H77" i="38" s="1"/>
  <c r="H154" i="38"/>
  <c r="M395" i="39"/>
  <c r="M309" i="39"/>
  <c r="M49" i="39"/>
  <c r="M50" i="39" s="1"/>
  <c r="M337" i="39"/>
  <c r="I415" i="37"/>
  <c r="I416" i="37" s="1"/>
  <c r="M415" i="37"/>
  <c r="M416" i="37" s="1"/>
  <c r="I397" i="37"/>
  <c r="F197" i="39"/>
  <c r="G399" i="37"/>
  <c r="L38" i="38"/>
  <c r="L154" i="38"/>
  <c r="L78" i="38"/>
  <c r="L77" i="38" s="1"/>
  <c r="L147" i="38"/>
  <c r="L148" i="38" s="1"/>
  <c r="L153" i="38" s="1"/>
  <c r="O415" i="37"/>
  <c r="O416" i="37" s="1"/>
  <c r="I395" i="39"/>
  <c r="I309" i="39"/>
  <c r="I49" i="39"/>
  <c r="I50" i="39" s="1"/>
  <c r="I337" i="39"/>
  <c r="P415" i="37"/>
  <c r="P416" i="37" s="1"/>
  <c r="L223" i="38"/>
  <c r="F274" i="38"/>
  <c r="K154" i="38"/>
  <c r="K147" i="38"/>
  <c r="K148" i="38" s="1"/>
  <c r="K153" i="38" s="1"/>
  <c r="K78" i="38"/>
  <c r="K77" i="38" s="1"/>
  <c r="K38" i="38"/>
  <c r="G420" i="37"/>
  <c r="F402" i="37"/>
  <c r="G424" i="37"/>
  <c r="F406" i="37"/>
  <c r="F163" i="37"/>
  <c r="F409" i="37"/>
  <c r="G427" i="37"/>
  <c r="I219" i="38"/>
  <c r="I220" i="38"/>
  <c r="I14" i="38" s="1"/>
  <c r="I218" i="38"/>
  <c r="I277" i="38"/>
  <c r="Q374" i="37"/>
  <c r="Q378" i="37" s="1"/>
  <c r="Q399" i="37" s="1"/>
  <c r="L385" i="39"/>
  <c r="L45" i="39"/>
  <c r="P322" i="37"/>
  <c r="P51" i="37"/>
  <c r="F403" i="37"/>
  <c r="G421" i="37"/>
  <c r="F161" i="39"/>
  <c r="O322" i="37"/>
  <c r="O51" i="37"/>
  <c r="H148" i="38"/>
  <c r="H153" i="38" s="1"/>
  <c r="H72" i="38"/>
  <c r="L60" i="38"/>
  <c r="L57" i="38"/>
  <c r="F396" i="39"/>
  <c r="P199" i="37"/>
  <c r="P202" i="37" s="1"/>
  <c r="P198" i="37"/>
  <c r="G159" i="37"/>
  <c r="M374" i="37"/>
  <c r="M378" i="37" s="1"/>
  <c r="M399" i="37" s="1"/>
  <c r="H375" i="37"/>
  <c r="H58" i="38"/>
  <c r="H61" i="38" s="1"/>
  <c r="H4" i="38" s="1"/>
  <c r="K72" i="38"/>
  <c r="M203" i="39"/>
  <c r="M107" i="39"/>
  <c r="M106" i="39"/>
  <c r="M182" i="39"/>
  <c r="M96" i="39"/>
  <c r="M95" i="39" s="1"/>
  <c r="M124" i="39"/>
  <c r="F112" i="38"/>
  <c r="G374" i="39"/>
  <c r="F361" i="39"/>
  <c r="G360" i="39"/>
  <c r="I200" i="39"/>
  <c r="I201" i="39" s="1"/>
  <c r="I108" i="39"/>
  <c r="I203" i="39"/>
  <c r="I107" i="39"/>
  <c r="I106" i="39"/>
  <c r="H416" i="39"/>
  <c r="H320" i="39"/>
  <c r="H319" i="39"/>
  <c r="H161" i="37"/>
  <c r="G202" i="37"/>
  <c r="F184" i="37"/>
  <c r="G419" i="37"/>
  <c r="F401" i="37"/>
  <c r="M71" i="37"/>
  <c r="M74" i="37"/>
  <c r="M322" i="37"/>
  <c r="M51" i="37"/>
  <c r="I317" i="38"/>
  <c r="I228" i="38" s="1"/>
  <c r="N51" i="37"/>
  <c r="H162" i="38"/>
  <c r="H374" i="39"/>
  <c r="H360" i="39"/>
  <c r="Q71" i="37"/>
  <c r="Q74" i="37"/>
  <c r="Q75" i="37" s="1"/>
  <c r="J219" i="38"/>
  <c r="J220" i="38"/>
  <c r="J14" i="38" s="1"/>
  <c r="J277" i="38"/>
  <c r="J307" i="38" s="1"/>
  <c r="J218" i="38"/>
  <c r="N203" i="39"/>
  <c r="N106" i="39"/>
  <c r="N107" i="39"/>
  <c r="L172" i="38"/>
  <c r="L83" i="38" s="1"/>
  <c r="L162" i="38"/>
  <c r="G426" i="37"/>
  <c r="F426" i="37" s="1"/>
  <c r="F408" i="37"/>
  <c r="I200" i="37"/>
  <c r="H377" i="37"/>
  <c r="H398" i="37" s="1"/>
  <c r="J162" i="38"/>
  <c r="M396" i="39"/>
  <c r="I45" i="39"/>
  <c r="N178" i="39"/>
  <c r="O198" i="37"/>
  <c r="J385" i="39"/>
  <c r="J45" i="39"/>
  <c r="J416" i="39"/>
  <c r="J319" i="39"/>
  <c r="J320" i="39"/>
  <c r="I104" i="39"/>
  <c r="I174" i="37"/>
  <c r="I97" i="37" s="1"/>
  <c r="I96" i="37" s="1"/>
  <c r="I91" i="37" s="1"/>
  <c r="H182" i="39"/>
  <c r="H96" i="39"/>
  <c r="H95" i="39" s="1"/>
  <c r="H124" i="39"/>
  <c r="K374" i="39"/>
  <c r="K360" i="39"/>
  <c r="H456" i="39"/>
  <c r="H329" i="39" s="1"/>
  <c r="J200" i="39"/>
  <c r="J201" i="39" s="1"/>
  <c r="J108" i="39"/>
  <c r="J104" i="39"/>
  <c r="G74" i="38"/>
  <c r="G75" i="38"/>
  <c r="F75" i="38" s="1"/>
  <c r="G73" i="38"/>
  <c r="H322" i="37"/>
  <c r="H51" i="37"/>
  <c r="F280" i="38"/>
  <c r="G280" i="38" s="1"/>
  <c r="J476" i="39"/>
  <c r="N475" i="39"/>
  <c r="J475" i="39"/>
  <c r="N474" i="39"/>
  <c r="J474" i="39"/>
  <c r="N473" i="39"/>
  <c r="J473" i="39"/>
  <c r="M476" i="39"/>
  <c r="I476" i="39"/>
  <c r="M475" i="39"/>
  <c r="I475" i="39"/>
  <c r="M474" i="39"/>
  <c r="I474" i="39"/>
  <c r="M473" i="39"/>
  <c r="I473" i="39"/>
  <c r="L476" i="39"/>
  <c r="H476" i="39"/>
  <c r="L475" i="39"/>
  <c r="H475" i="39"/>
  <c r="L474" i="39"/>
  <c r="H474" i="39"/>
  <c r="L473" i="39"/>
  <c r="H473" i="39"/>
  <c r="G475" i="39"/>
  <c r="G473" i="39"/>
  <c r="K476" i="39"/>
  <c r="K474" i="39"/>
  <c r="G476" i="39"/>
  <c r="G474" i="39"/>
  <c r="K475" i="39"/>
  <c r="K473" i="39"/>
  <c r="M272" i="39"/>
  <c r="I272" i="39"/>
  <c r="M271" i="39"/>
  <c r="I271" i="39"/>
  <c r="M270" i="39"/>
  <c r="I270" i="39"/>
  <c r="M269" i="39"/>
  <c r="I269" i="39"/>
  <c r="M268" i="39"/>
  <c r="I268" i="39"/>
  <c r="M263" i="39"/>
  <c r="I263" i="39"/>
  <c r="M262" i="39"/>
  <c r="I262" i="39"/>
  <c r="M261" i="39"/>
  <c r="I261" i="39"/>
  <c r="M260" i="39"/>
  <c r="I260" i="39"/>
  <c r="M259" i="39"/>
  <c r="I259" i="39"/>
  <c r="I477" i="39" s="1"/>
  <c r="I478" i="39" s="1"/>
  <c r="L272" i="39"/>
  <c r="H272" i="39"/>
  <c r="L271" i="39"/>
  <c r="H271" i="39"/>
  <c r="L270" i="39"/>
  <c r="H270" i="39"/>
  <c r="L269" i="39"/>
  <c r="H269" i="39"/>
  <c r="L268" i="39"/>
  <c r="H268" i="39"/>
  <c r="L263" i="39"/>
  <c r="H263" i="39"/>
  <c r="L262" i="39"/>
  <c r="H262" i="39"/>
  <c r="L261" i="39"/>
  <c r="H261" i="39"/>
  <c r="L260" i="39"/>
  <c r="H260" i="39"/>
  <c r="L259" i="39"/>
  <c r="H259" i="39"/>
  <c r="H477" i="39" s="1"/>
  <c r="H478" i="39" s="1"/>
  <c r="K272" i="39"/>
  <c r="G272" i="39"/>
  <c r="K271" i="39"/>
  <c r="G271" i="39"/>
  <c r="K270" i="39"/>
  <c r="G270" i="39"/>
  <c r="K269" i="39"/>
  <c r="G269" i="39"/>
  <c r="K268" i="39"/>
  <c r="G268" i="39"/>
  <c r="K263" i="39"/>
  <c r="G263" i="39"/>
  <c r="K262" i="39"/>
  <c r="G262" i="39"/>
  <c r="K261" i="39"/>
  <c r="G261" i="39"/>
  <c r="K260" i="39"/>
  <c r="K264" i="39" s="1"/>
  <c r="K265" i="39" s="1"/>
  <c r="G260" i="39"/>
  <c r="K259" i="39"/>
  <c r="G259" i="39"/>
  <c r="G477" i="39" s="1"/>
  <c r="G478" i="39" s="1"/>
  <c r="N272" i="39"/>
  <c r="N270" i="39"/>
  <c r="N268" i="39"/>
  <c r="N486" i="39" s="1"/>
  <c r="N487" i="39" s="1"/>
  <c r="N262" i="39"/>
  <c r="N260" i="39"/>
  <c r="J272" i="39"/>
  <c r="J270" i="39"/>
  <c r="J268" i="39"/>
  <c r="J262" i="39"/>
  <c r="J260" i="39"/>
  <c r="N271" i="39"/>
  <c r="N269" i="39"/>
  <c r="N263" i="39"/>
  <c r="N261" i="39"/>
  <c r="N259" i="39"/>
  <c r="J263" i="39"/>
  <c r="J271" i="39"/>
  <c r="J261" i="39"/>
  <c r="J269" i="39"/>
  <c r="J259" i="39"/>
  <c r="J477" i="39" s="1"/>
  <c r="J478" i="39" s="1"/>
  <c r="K124" i="39"/>
  <c r="K182" i="39"/>
  <c r="K96" i="39"/>
  <c r="K95" i="39" s="1"/>
  <c r="L58" i="38"/>
  <c r="L61" i="38" s="1"/>
  <c r="L4" i="38" s="1"/>
  <c r="K220" i="38"/>
  <c r="K14" i="38" s="1"/>
  <c r="K277" i="38"/>
  <c r="K218" i="38"/>
  <c r="K219" i="38"/>
  <c r="K216" i="38"/>
  <c r="G183" i="37"/>
  <c r="F162" i="37"/>
  <c r="I130" i="38"/>
  <c r="I131" i="38"/>
  <c r="I71" i="38"/>
  <c r="G71" i="38"/>
  <c r="N358" i="37"/>
  <c r="N159" i="37"/>
  <c r="J130" i="38"/>
  <c r="J71" i="38"/>
  <c r="J131" i="38"/>
  <c r="J154" i="38" s="1"/>
  <c r="H60" i="38"/>
  <c r="H57" i="38"/>
  <c r="H59" i="38" s="1"/>
  <c r="K36" i="38"/>
  <c r="K56" i="38" s="1"/>
  <c r="L277" i="38"/>
  <c r="L307" i="38" s="1"/>
  <c r="L218" i="38"/>
  <c r="L219" i="38"/>
  <c r="L220" i="38"/>
  <c r="L14" i="38" s="1"/>
  <c r="I51" i="37"/>
  <c r="G457" i="39"/>
  <c r="F457" i="39" s="1"/>
  <c r="F447" i="39"/>
  <c r="F392" i="39"/>
  <c r="G409" i="39"/>
  <c r="G410" i="39" s="1"/>
  <c r="L203" i="39"/>
  <c r="L107" i="39"/>
  <c r="L106" i="39"/>
  <c r="L182" i="39"/>
  <c r="L96" i="39"/>
  <c r="L95" i="39" s="1"/>
  <c r="L124" i="39"/>
  <c r="I178" i="39"/>
  <c r="Q197" i="37"/>
  <c r="Q201" i="37" s="1"/>
  <c r="M45" i="39"/>
  <c r="K409" i="39"/>
  <c r="K410" i="39" s="1"/>
  <c r="J178" i="39"/>
  <c r="F132" i="38"/>
  <c r="G132" i="38" s="1"/>
  <c r="G79" i="38" s="1"/>
  <c r="F79" i="38" s="1"/>
  <c r="F260" i="38"/>
  <c r="G260" i="38" s="1"/>
  <c r="G36" i="38" s="1"/>
  <c r="O161" i="37"/>
  <c r="H409" i="39"/>
  <c r="H410" i="39" s="1"/>
  <c r="Q322" i="37"/>
  <c r="Q51" i="37"/>
  <c r="J106" i="39"/>
  <c r="J107" i="39"/>
  <c r="J203" i="39"/>
  <c r="J112" i="39" s="1"/>
  <c r="K317" i="38"/>
  <c r="K228" i="38" s="1"/>
  <c r="Q415" i="37"/>
  <c r="I257" i="38"/>
  <c r="I259" i="38"/>
  <c r="F114" i="38"/>
  <c r="F407" i="37"/>
  <c r="G425" i="37"/>
  <c r="F425" i="37" s="1"/>
  <c r="O272" i="37"/>
  <c r="H272" i="37"/>
  <c r="O271" i="37"/>
  <c r="H271" i="37"/>
  <c r="O270" i="37"/>
  <c r="H270" i="37"/>
  <c r="O269" i="37"/>
  <c r="H269" i="37"/>
  <c r="O268" i="37"/>
  <c r="H268" i="37"/>
  <c r="O263" i="37"/>
  <c r="H263" i="37"/>
  <c r="O262" i="37"/>
  <c r="H262" i="37"/>
  <c r="O261" i="37"/>
  <c r="H261" i="37"/>
  <c r="O260" i="37"/>
  <c r="H260" i="37"/>
  <c r="O259" i="37"/>
  <c r="H259" i="37"/>
  <c r="N272" i="37"/>
  <c r="G272" i="37"/>
  <c r="N271" i="37"/>
  <c r="G271" i="37"/>
  <c r="N270" i="37"/>
  <c r="G270" i="37"/>
  <c r="N269" i="37"/>
  <c r="G269" i="37"/>
  <c r="N268" i="37"/>
  <c r="G268" i="37"/>
  <c r="N263" i="37"/>
  <c r="G263" i="37"/>
  <c r="N262" i="37"/>
  <c r="G262" i="37"/>
  <c r="N261" i="37"/>
  <c r="G261" i="37"/>
  <c r="N260" i="37"/>
  <c r="G260" i="37"/>
  <c r="N259" i="37"/>
  <c r="G259" i="37"/>
  <c r="Q272" i="37"/>
  <c r="M272" i="37"/>
  <c r="Q271" i="37"/>
  <c r="M271" i="37"/>
  <c r="Q270" i="37"/>
  <c r="M270" i="37"/>
  <c r="Q269" i="37"/>
  <c r="M269" i="37"/>
  <c r="Q268" i="37"/>
  <c r="M268" i="37"/>
  <c r="Q263" i="37"/>
  <c r="M263" i="37"/>
  <c r="Q262" i="37"/>
  <c r="M262" i="37"/>
  <c r="Q261" i="37"/>
  <c r="M261" i="37"/>
  <c r="Q260" i="37"/>
  <c r="M260" i="37"/>
  <c r="Q259" i="37"/>
  <c r="M259" i="37"/>
  <c r="P271" i="37"/>
  <c r="P269" i="37"/>
  <c r="P263" i="37"/>
  <c r="P261" i="37"/>
  <c r="P259" i="37"/>
  <c r="I272" i="37"/>
  <c r="I271" i="37"/>
  <c r="I269" i="37"/>
  <c r="I263" i="37"/>
  <c r="I261" i="37"/>
  <c r="I259" i="37"/>
  <c r="I270" i="37"/>
  <c r="I262" i="37"/>
  <c r="P272" i="37"/>
  <c r="P270" i="37"/>
  <c r="P268" i="37"/>
  <c r="P262" i="37"/>
  <c r="P260" i="37"/>
  <c r="I268" i="37"/>
  <c r="I260" i="37"/>
  <c r="J259" i="38"/>
  <c r="J257" i="38"/>
  <c r="F183" i="39"/>
  <c r="G183" i="39" s="1"/>
  <c r="H223" i="38"/>
  <c r="K416" i="39"/>
  <c r="K320" i="39"/>
  <c r="K319" i="39"/>
  <c r="I172" i="38"/>
  <c r="I83" i="38" s="1"/>
  <c r="H203" i="39"/>
  <c r="H112" i="39" s="1"/>
  <c r="H107" i="39"/>
  <c r="H106" i="39"/>
  <c r="N200" i="39"/>
  <c r="N201" i="39" s="1"/>
  <c r="N108" i="39"/>
  <c r="N104" i="39"/>
  <c r="L416" i="39"/>
  <c r="L320" i="39"/>
  <c r="L319" i="39"/>
  <c r="O374" i="37"/>
  <c r="O378" i="37" s="1"/>
  <c r="O399" i="37" s="1"/>
  <c r="H277" i="38"/>
  <c r="H292" i="38" s="1"/>
  <c r="H218" i="38"/>
  <c r="H219" i="38"/>
  <c r="H220" i="38"/>
  <c r="H14" i="38" s="1"/>
  <c r="N416" i="39"/>
  <c r="N456" i="39" s="1"/>
  <c r="N329" i="39" s="1"/>
  <c r="N319" i="39"/>
  <c r="N320" i="39"/>
  <c r="N385" i="39"/>
  <c r="N45" i="39"/>
  <c r="I416" i="39"/>
  <c r="I320" i="39"/>
  <c r="I319" i="39"/>
  <c r="K326" i="35"/>
  <c r="G326" i="35" s="1"/>
  <c r="K146" i="35"/>
  <c r="G146" i="35" s="1"/>
  <c r="K145" i="35"/>
  <c r="G145" i="35" s="1"/>
  <c r="K144" i="35"/>
  <c r="G144" i="35" s="1"/>
  <c r="K143" i="35"/>
  <c r="G143" i="35" s="1"/>
  <c r="K142" i="35"/>
  <c r="G142" i="35" s="1"/>
  <c r="K141" i="35"/>
  <c r="G141" i="35" s="1"/>
  <c r="K140" i="35"/>
  <c r="G140" i="35" s="1"/>
  <c r="K139" i="35"/>
  <c r="G139" i="35" s="1"/>
  <c r="K138" i="35"/>
  <c r="G138" i="35" s="1"/>
  <c r="K137" i="35"/>
  <c r="G137" i="35" s="1"/>
  <c r="K136" i="35"/>
  <c r="G136" i="35" s="1"/>
  <c r="K135" i="35"/>
  <c r="G135" i="35" s="1"/>
  <c r="K134" i="35"/>
  <c r="G134" i="35" s="1"/>
  <c r="K133" i="35"/>
  <c r="G133" i="35" s="1"/>
  <c r="K132" i="35"/>
  <c r="G132" i="35" s="1"/>
  <c r="K131" i="35"/>
  <c r="G131" i="35" s="1"/>
  <c r="K130" i="35"/>
  <c r="G130" i="35" s="1"/>
  <c r="K129" i="35"/>
  <c r="G129" i="35" s="1"/>
  <c r="K128" i="35"/>
  <c r="G128" i="35" s="1"/>
  <c r="K127" i="35"/>
  <c r="G127" i="35" s="1"/>
  <c r="K126" i="35"/>
  <c r="G126" i="35" s="1"/>
  <c r="K125" i="35"/>
  <c r="G125" i="35" s="1"/>
  <c r="K124" i="35"/>
  <c r="G124" i="35" s="1"/>
  <c r="K122" i="35"/>
  <c r="G122" i="35" s="1"/>
  <c r="K123" i="35"/>
  <c r="G123" i="35" s="1"/>
  <c r="H307" i="38" l="1"/>
  <c r="N273" i="39"/>
  <c r="N274" i="39" s="1"/>
  <c r="K477" i="39"/>
  <c r="K478" i="39" s="1"/>
  <c r="L477" i="39"/>
  <c r="L478" i="39" s="1"/>
  <c r="M477" i="39"/>
  <c r="M478" i="39" s="1"/>
  <c r="F259" i="38"/>
  <c r="J264" i="39"/>
  <c r="J265" i="39" s="1"/>
  <c r="G264" i="39"/>
  <c r="G265" i="39" s="1"/>
  <c r="H264" i="39"/>
  <c r="H265" i="39" s="1"/>
  <c r="N477" i="39"/>
  <c r="N478" i="39" s="1"/>
  <c r="G486" i="39"/>
  <c r="G487" i="39" s="1"/>
  <c r="G375" i="39" s="1"/>
  <c r="G376" i="39" s="1"/>
  <c r="F376" i="39" s="1"/>
  <c r="H486" i="39"/>
  <c r="H487" i="39" s="1"/>
  <c r="I486" i="39"/>
  <c r="I487" i="39" s="1"/>
  <c r="K486" i="39"/>
  <c r="K487" i="39" s="1"/>
  <c r="L273" i="39"/>
  <c r="L274" i="39" s="1"/>
  <c r="M273" i="39"/>
  <c r="M274" i="39" s="1"/>
  <c r="J486" i="39"/>
  <c r="J487" i="39" s="1"/>
  <c r="G273" i="39"/>
  <c r="G274" i="39" s="1"/>
  <c r="G162" i="39" s="1"/>
  <c r="G163" i="39" s="1"/>
  <c r="G45" i="39" s="1"/>
  <c r="H273" i="39"/>
  <c r="H274" i="39" s="1"/>
  <c r="K273" i="39"/>
  <c r="K274" i="39" s="1"/>
  <c r="K264" i="37"/>
  <c r="K265" i="37" s="1"/>
  <c r="M50" i="41"/>
  <c r="M75" i="37"/>
  <c r="M79" i="37" s="1"/>
  <c r="M313" i="40"/>
  <c r="M312" i="40" s="1"/>
  <c r="M307" i="40" s="1"/>
  <c r="M396" i="40" s="1"/>
  <c r="H49" i="40"/>
  <c r="M313" i="41"/>
  <c r="M312" i="41" s="1"/>
  <c r="M307" i="41" s="1"/>
  <c r="M396" i="41" s="1"/>
  <c r="G22" i="37"/>
  <c r="F22" i="41"/>
  <c r="G314" i="41"/>
  <c r="F314" i="41" s="1"/>
  <c r="H79" i="37"/>
  <c r="H81" i="37" s="1"/>
  <c r="H5" i="37" s="1"/>
  <c r="I390" i="37"/>
  <c r="I313" i="37" s="1"/>
  <c r="I312" i="37" s="1"/>
  <c r="I307" i="37" s="1"/>
  <c r="K397" i="37"/>
  <c r="J264" i="37"/>
  <c r="J265" i="37" s="1"/>
  <c r="K273" i="37"/>
  <c r="K274" i="37" s="1"/>
  <c r="J273" i="37"/>
  <c r="J274" i="37" s="1"/>
  <c r="O418" i="37"/>
  <c r="P390" i="37"/>
  <c r="P313" i="37" s="1"/>
  <c r="P312" i="37" s="1"/>
  <c r="P307" i="37" s="1"/>
  <c r="L264" i="37"/>
  <c r="L265" i="37" s="1"/>
  <c r="L273" i="37"/>
  <c r="L274" i="37" s="1"/>
  <c r="Q174" i="37"/>
  <c r="Q97" i="37" s="1"/>
  <c r="Q96" i="37" s="1"/>
  <c r="Q91" i="37" s="1"/>
  <c r="Q180" i="37" s="1"/>
  <c r="I418" i="37"/>
  <c r="I50" i="37" s="1"/>
  <c r="N264" i="37"/>
  <c r="N265" i="37" s="1"/>
  <c r="O264" i="37"/>
  <c r="O265" i="37" s="1"/>
  <c r="Q418" i="37"/>
  <c r="Q202" i="37"/>
  <c r="Q264" i="37"/>
  <c r="Q265" i="37" s="1"/>
  <c r="M264" i="37"/>
  <c r="M265" i="37" s="1"/>
  <c r="G264" i="37"/>
  <c r="G265" i="37" s="1"/>
  <c r="P273" i="37"/>
  <c r="P274" i="37" s="1"/>
  <c r="H264" i="37"/>
  <c r="H265" i="37" s="1"/>
  <c r="P418" i="37"/>
  <c r="P50" i="37" s="1"/>
  <c r="M174" i="37"/>
  <c r="M97" i="37" s="1"/>
  <c r="M96" i="37" s="1"/>
  <c r="M91" i="37" s="1"/>
  <c r="M180" i="37" s="1"/>
  <c r="P264" i="37"/>
  <c r="P265" i="37" s="1"/>
  <c r="M273" i="37"/>
  <c r="M274" i="37" s="1"/>
  <c r="G273" i="37"/>
  <c r="G274" i="37" s="1"/>
  <c r="H273" i="37"/>
  <c r="H274" i="37" s="1"/>
  <c r="M418" i="37"/>
  <c r="M202" i="37"/>
  <c r="I273" i="37"/>
  <c r="I274" i="37" s="1"/>
  <c r="I264" i="37"/>
  <c r="I265" i="37" s="1"/>
  <c r="Q273" i="37"/>
  <c r="Q274" i="37" s="1"/>
  <c r="N273" i="37"/>
  <c r="N274" i="37" s="1"/>
  <c r="O273" i="37"/>
  <c r="O274" i="37" s="1"/>
  <c r="O375" i="37"/>
  <c r="O390" i="37" s="1"/>
  <c r="Q416" i="37"/>
  <c r="Q48" i="37" s="1"/>
  <c r="K390" i="40"/>
  <c r="K313" i="40" s="1"/>
  <c r="K312" i="40" s="1"/>
  <c r="K307" i="40" s="1"/>
  <c r="G161" i="40"/>
  <c r="G174" i="40" s="1"/>
  <c r="G97" i="40" s="1"/>
  <c r="I163" i="40"/>
  <c r="I184" i="40" s="1"/>
  <c r="I161" i="40"/>
  <c r="H163" i="40"/>
  <c r="H161" i="40"/>
  <c r="G182" i="40"/>
  <c r="N397" i="40"/>
  <c r="N413" i="40" s="1"/>
  <c r="N417" i="40" s="1"/>
  <c r="N49" i="40" s="1"/>
  <c r="K174" i="41"/>
  <c r="K97" i="41" s="1"/>
  <c r="K96" i="41" s="1"/>
  <c r="K91" i="41" s="1"/>
  <c r="K180" i="41" s="1"/>
  <c r="F182" i="41"/>
  <c r="J174" i="41"/>
  <c r="J97" i="41" s="1"/>
  <c r="J96" i="41" s="1"/>
  <c r="J91" i="41" s="1"/>
  <c r="J180" i="41" s="1"/>
  <c r="F159" i="41"/>
  <c r="I174" i="41"/>
  <c r="I97" i="41" s="1"/>
  <c r="I96" i="41" s="1"/>
  <c r="I91" i="41" s="1"/>
  <c r="I180" i="41" s="1"/>
  <c r="F161" i="41"/>
  <c r="H184" i="41"/>
  <c r="F163" i="41"/>
  <c r="H397" i="41"/>
  <c r="G183" i="41"/>
  <c r="F183" i="41" s="1"/>
  <c r="G174" i="41"/>
  <c r="G97" i="41" s="1"/>
  <c r="G96" i="41" s="1"/>
  <c r="F162" i="41"/>
  <c r="M431" i="41"/>
  <c r="M48" i="41"/>
  <c r="N414" i="41"/>
  <c r="N321" i="41" s="1"/>
  <c r="N320" i="41" s="1"/>
  <c r="N319" i="41" s="1"/>
  <c r="M321" i="41"/>
  <c r="M320" i="41" s="1"/>
  <c r="M319" i="41" s="1"/>
  <c r="M49" i="41"/>
  <c r="M198" i="41"/>
  <c r="L180" i="41"/>
  <c r="L377" i="41"/>
  <c r="L197" i="41"/>
  <c r="L201" i="41" s="1"/>
  <c r="L49" i="41" s="1"/>
  <c r="H81" i="41"/>
  <c r="H5" i="41" s="1"/>
  <c r="H6" i="41"/>
  <c r="L81" i="41"/>
  <c r="L5" i="41" s="1"/>
  <c r="L6" i="41"/>
  <c r="N197" i="41"/>
  <c r="N201" i="41" s="1"/>
  <c r="N49" i="41" s="1"/>
  <c r="N396" i="41"/>
  <c r="N81" i="41"/>
  <c r="N5" i="41" s="1"/>
  <c r="N6" i="41"/>
  <c r="L400" i="41"/>
  <c r="F181" i="41"/>
  <c r="N180" i="41"/>
  <c r="N16" i="41"/>
  <c r="N17" i="41" s="1"/>
  <c r="N215" i="40"/>
  <c r="N216" i="40" s="1"/>
  <c r="N105" i="40"/>
  <c r="N104" i="40" s="1"/>
  <c r="N103" i="40" s="1"/>
  <c r="L198" i="40"/>
  <c r="K199" i="40"/>
  <c r="K202" i="40" s="1"/>
  <c r="K50" i="40" s="1"/>
  <c r="G197" i="40"/>
  <c r="G201" i="40" s="1"/>
  <c r="F201" i="40" s="1"/>
  <c r="F181" i="40"/>
  <c r="K6" i="40"/>
  <c r="K81" i="40"/>
  <c r="K5" i="40" s="1"/>
  <c r="L390" i="40"/>
  <c r="L397" i="40"/>
  <c r="J390" i="40"/>
  <c r="J397" i="40"/>
  <c r="F375" i="40"/>
  <c r="J237" i="40"/>
  <c r="J229" i="40"/>
  <c r="J239" i="40" s="1"/>
  <c r="J228" i="40"/>
  <c r="J238" i="40" s="1"/>
  <c r="M61" i="40"/>
  <c r="M62" i="40" s="1"/>
  <c r="N16" i="40"/>
  <c r="N17" i="40" s="1"/>
  <c r="N313" i="40"/>
  <c r="N312" i="40" s="1"/>
  <c r="N307" i="40" s="1"/>
  <c r="M321" i="40"/>
  <c r="M320" i="40" s="1"/>
  <c r="M319" i="40" s="1"/>
  <c r="M228" i="40"/>
  <c r="M238" i="40" s="1"/>
  <c r="M237" i="40"/>
  <c r="M229" i="40"/>
  <c r="M239" i="40" s="1"/>
  <c r="M81" i="40"/>
  <c r="M5" i="40" s="1"/>
  <c r="M6" i="40"/>
  <c r="K180" i="40"/>
  <c r="K413" i="40"/>
  <c r="K417" i="40" s="1"/>
  <c r="K49" i="40" s="1"/>
  <c r="H198" i="40"/>
  <c r="L416" i="40"/>
  <c r="L48" i="40" s="1"/>
  <c r="M431" i="40"/>
  <c r="G166" i="39"/>
  <c r="F166" i="39" s="1"/>
  <c r="G380" i="39"/>
  <c r="F380" i="39" s="1"/>
  <c r="G378" i="39"/>
  <c r="F378" i="39" s="1"/>
  <c r="G379" i="39"/>
  <c r="F379" i="39" s="1"/>
  <c r="H43" i="38"/>
  <c r="H44" i="38" s="1"/>
  <c r="H293" i="38"/>
  <c r="H298" i="38" s="1"/>
  <c r="M48" i="37"/>
  <c r="I325" i="39"/>
  <c r="I59" i="39"/>
  <c r="L325" i="39"/>
  <c r="L59" i="39"/>
  <c r="N202" i="39"/>
  <c r="K325" i="39"/>
  <c r="K59" i="39"/>
  <c r="F203" i="39"/>
  <c r="G203" i="39" s="1"/>
  <c r="G112" i="39" s="1"/>
  <c r="F277" i="38"/>
  <c r="G277" i="38" s="1"/>
  <c r="L200" i="39"/>
  <c r="L201" i="39" s="1"/>
  <c r="L108" i="39"/>
  <c r="L104" i="39"/>
  <c r="K60" i="38"/>
  <c r="K57" i="38"/>
  <c r="J72" i="38"/>
  <c r="I72" i="38"/>
  <c r="F183" i="37"/>
  <c r="K58" i="38"/>
  <c r="K61" i="38" s="1"/>
  <c r="K4" i="38" s="1"/>
  <c r="K217" i="38"/>
  <c r="K12" i="38" s="1"/>
  <c r="K224" i="38"/>
  <c r="K222" i="38" s="1"/>
  <c r="K39" i="38"/>
  <c r="K292" i="38"/>
  <c r="K43" i="38" s="1"/>
  <c r="K44" i="38" s="1"/>
  <c r="K178" i="39"/>
  <c r="L486" i="39"/>
  <c r="L487" i="39" s="1"/>
  <c r="M486" i="39"/>
  <c r="M487" i="39" s="1"/>
  <c r="G162" i="38"/>
  <c r="F162" i="38" s="1"/>
  <c r="J395" i="39"/>
  <c r="J309" i="39"/>
  <c r="J49" i="39"/>
  <c r="J50" i="39" s="1"/>
  <c r="J337" i="39"/>
  <c r="H415" i="37"/>
  <c r="H418" i="37" s="1"/>
  <c r="H182" i="37"/>
  <c r="F161" i="37"/>
  <c r="H174" i="37"/>
  <c r="H97" i="37" s="1"/>
  <c r="H96" i="37" s="1"/>
  <c r="H91" i="37" s="1"/>
  <c r="F360" i="39"/>
  <c r="M178" i="39"/>
  <c r="K178" i="38"/>
  <c r="K181" i="38" s="1"/>
  <c r="K160" i="38"/>
  <c r="K170" i="38" s="1"/>
  <c r="K158" i="38"/>
  <c r="K168" i="38" s="1"/>
  <c r="G174" i="37"/>
  <c r="F159" i="37"/>
  <c r="G181" i="37"/>
  <c r="G396" i="39"/>
  <c r="F421" i="37"/>
  <c r="F53" i="37" s="1"/>
  <c r="G53" i="37"/>
  <c r="H317" i="38"/>
  <c r="H228" i="38" s="1"/>
  <c r="L292" i="38"/>
  <c r="I25" i="39"/>
  <c r="I391" i="39"/>
  <c r="I456" i="39"/>
  <c r="I329" i="39" s="1"/>
  <c r="N105" i="39"/>
  <c r="I275" i="38"/>
  <c r="I276" i="38" s="1"/>
  <c r="I36" i="38"/>
  <c r="I56" i="38" s="1"/>
  <c r="I216" i="38"/>
  <c r="G220" i="38"/>
  <c r="G218" i="38"/>
  <c r="G307" i="38"/>
  <c r="G219" i="38"/>
  <c r="G317" i="38"/>
  <c r="N374" i="37"/>
  <c r="N378" i="37" s="1"/>
  <c r="N399" i="37" s="1"/>
  <c r="F399" i="37" s="1"/>
  <c r="F358" i="37"/>
  <c r="I147" i="38"/>
  <c r="I148" i="38" s="1"/>
  <c r="I153" i="38" s="1"/>
  <c r="I78" i="38"/>
  <c r="I77" i="38" s="1"/>
  <c r="N264" i="39"/>
  <c r="N265" i="39" s="1"/>
  <c r="L264" i="39"/>
  <c r="L265" i="39" s="1"/>
  <c r="I264" i="39"/>
  <c r="I265" i="39" s="1"/>
  <c r="I273" i="39"/>
  <c r="I274" i="39" s="1"/>
  <c r="H200" i="39"/>
  <c r="H201" i="39" s="1"/>
  <c r="H108" i="39"/>
  <c r="H104" i="39"/>
  <c r="M416" i="39"/>
  <c r="M320" i="39"/>
  <c r="M319" i="39"/>
  <c r="J224" i="38"/>
  <c r="J39" i="38"/>
  <c r="J317" i="38"/>
  <c r="J228" i="38" s="1"/>
  <c r="H325" i="39"/>
  <c r="H59" i="39"/>
  <c r="M112" i="39"/>
  <c r="M243" i="39"/>
  <c r="M116" i="39" s="1"/>
  <c r="F416" i="39"/>
  <c r="G416" i="39" s="1"/>
  <c r="H178" i="38"/>
  <c r="H181" i="38" s="1"/>
  <c r="H160" i="38"/>
  <c r="H170" i="38" s="1"/>
  <c r="H158" i="38"/>
  <c r="H168" i="38" s="1"/>
  <c r="L395" i="39"/>
  <c r="L309" i="39"/>
  <c r="L49" i="39"/>
  <c r="L50" i="39" s="1"/>
  <c r="L337" i="39"/>
  <c r="I224" i="38"/>
  <c r="I39" i="38"/>
  <c r="I307" i="38"/>
  <c r="L456" i="39"/>
  <c r="L329" i="39" s="1"/>
  <c r="J243" i="39"/>
  <c r="J116" i="39" s="1"/>
  <c r="M308" i="39"/>
  <c r="M15" i="39"/>
  <c r="M14" i="39" s="1"/>
  <c r="M55" i="39" s="1"/>
  <c r="N325" i="39"/>
  <c r="N59" i="39"/>
  <c r="N395" i="39"/>
  <c r="N309" i="39"/>
  <c r="N49" i="39"/>
  <c r="N50" i="39" s="1"/>
  <c r="N337" i="39"/>
  <c r="J275" i="38"/>
  <c r="J276" i="38"/>
  <c r="J299" i="38" s="1"/>
  <c r="J36" i="38"/>
  <c r="J56" i="38" s="1"/>
  <c r="J216" i="38"/>
  <c r="F257" i="38"/>
  <c r="G216" i="38"/>
  <c r="Q198" i="37"/>
  <c r="L178" i="39"/>
  <c r="H62" i="38"/>
  <c r="H5" i="38" s="1"/>
  <c r="H6" i="38"/>
  <c r="K307" i="38"/>
  <c r="J273" i="39"/>
  <c r="J274" i="39" s="1"/>
  <c r="M264" i="39"/>
  <c r="M265" i="39" s="1"/>
  <c r="G172" i="38"/>
  <c r="J202" i="39"/>
  <c r="K385" i="39"/>
  <c r="K45" i="39"/>
  <c r="I180" i="37"/>
  <c r="J325" i="39"/>
  <c r="J59" i="39"/>
  <c r="J456" i="39"/>
  <c r="J329" i="39" s="1"/>
  <c r="N225" i="39"/>
  <c r="M456" i="39"/>
  <c r="M329" i="39" s="1"/>
  <c r="N112" i="39"/>
  <c r="N243" i="39"/>
  <c r="N116" i="39" s="1"/>
  <c r="Q76" i="37"/>
  <c r="Q78" i="37" s="1"/>
  <c r="Q79" i="37"/>
  <c r="H385" i="39"/>
  <c r="H45" i="39"/>
  <c r="F419" i="37"/>
  <c r="F51" i="37" s="1"/>
  <c r="G51" i="37"/>
  <c r="I112" i="39"/>
  <c r="I243" i="39"/>
  <c r="I116" i="39" s="1"/>
  <c r="I202" i="39"/>
  <c r="F374" i="39"/>
  <c r="M200" i="39"/>
  <c r="M201" i="39" s="1"/>
  <c r="M108" i="39"/>
  <c r="M104" i="39"/>
  <c r="H217" i="38"/>
  <c r="H12" i="38" s="1"/>
  <c r="H390" i="37"/>
  <c r="H397" i="37"/>
  <c r="M375" i="37"/>
  <c r="I154" i="38"/>
  <c r="P200" i="37"/>
  <c r="P105" i="37" s="1"/>
  <c r="P104" i="37" s="1"/>
  <c r="P103" i="37" s="1"/>
  <c r="L59" i="38"/>
  <c r="Q375" i="37"/>
  <c r="I308" i="39"/>
  <c r="I15" i="39"/>
  <c r="I14" i="39" s="1"/>
  <c r="I55" i="39" s="1"/>
  <c r="H243" i="39"/>
  <c r="H116" i="39" s="1"/>
  <c r="L178" i="38"/>
  <c r="L181" i="38" s="1"/>
  <c r="L160" i="38"/>
  <c r="L170" i="38" s="1"/>
  <c r="L158" i="38"/>
  <c r="L168" i="38" s="1"/>
  <c r="I48" i="37"/>
  <c r="M413" i="39"/>
  <c r="M414" i="39" s="1"/>
  <c r="M321" i="39"/>
  <c r="M317" i="39"/>
  <c r="H39" i="38"/>
  <c r="H224" i="38"/>
  <c r="H222" i="38" s="1"/>
  <c r="N218" i="39"/>
  <c r="N219" i="39" s="1"/>
  <c r="N224" i="39" s="1"/>
  <c r="N249" i="39" s="1"/>
  <c r="N252" i="39" s="1"/>
  <c r="N111" i="39"/>
  <c r="N110" i="39" s="1"/>
  <c r="G107" i="39"/>
  <c r="G106" i="39"/>
  <c r="G243" i="39"/>
  <c r="O182" i="37"/>
  <c r="O174" i="37"/>
  <c r="O97" i="37" s="1"/>
  <c r="O96" i="37" s="1"/>
  <c r="O91" i="37" s="1"/>
  <c r="L112" i="39"/>
  <c r="L243" i="39"/>
  <c r="L116" i="39" s="1"/>
  <c r="F410" i="39"/>
  <c r="L224" i="38"/>
  <c r="L39" i="38"/>
  <c r="L317" i="38"/>
  <c r="L228" i="38" s="1"/>
  <c r="J147" i="38"/>
  <c r="J148" i="38" s="1"/>
  <c r="J153" i="38" s="1"/>
  <c r="J78" i="38"/>
  <c r="J77" i="38" s="1"/>
  <c r="N174" i="37"/>
  <c r="N97" i="37" s="1"/>
  <c r="N96" i="37" s="1"/>
  <c r="N91" i="37" s="1"/>
  <c r="N181" i="37"/>
  <c r="G72" i="38"/>
  <c r="F72" i="38" s="1"/>
  <c r="F71" i="38"/>
  <c r="L217" i="38"/>
  <c r="L12" i="38" s="1"/>
  <c r="K202" i="39"/>
  <c r="K229" i="39" s="1"/>
  <c r="K200" i="39"/>
  <c r="K201" i="39" s="1"/>
  <c r="K108" i="39"/>
  <c r="K104" i="39"/>
  <c r="J105" i="39"/>
  <c r="H178" i="39"/>
  <c r="I105" i="39"/>
  <c r="J200" i="38"/>
  <c r="L199" i="38"/>
  <c r="H199" i="38"/>
  <c r="J198" i="38"/>
  <c r="L197" i="38"/>
  <c r="H197" i="38"/>
  <c r="J196" i="38"/>
  <c r="L192" i="38"/>
  <c r="H192" i="38"/>
  <c r="J191" i="38"/>
  <c r="L190" i="38"/>
  <c r="H190" i="38"/>
  <c r="J189" i="38"/>
  <c r="L188" i="38"/>
  <c r="H188" i="38"/>
  <c r="I200" i="38"/>
  <c r="K199" i="38"/>
  <c r="G199" i="38"/>
  <c r="I198" i="38"/>
  <c r="K197" i="38"/>
  <c r="G197" i="38"/>
  <c r="I196" i="38"/>
  <c r="K192" i="38"/>
  <c r="G192" i="38"/>
  <c r="I191" i="38"/>
  <c r="K190" i="38"/>
  <c r="G190" i="38"/>
  <c r="I189" i="38"/>
  <c r="K188" i="38"/>
  <c r="K193" i="38" s="1"/>
  <c r="G188" i="38"/>
  <c r="G193" i="38" s="1"/>
  <c r="L200" i="38"/>
  <c r="H200" i="38"/>
  <c r="J199" i="38"/>
  <c r="L198" i="38"/>
  <c r="H198" i="38"/>
  <c r="J197" i="38"/>
  <c r="L196" i="38"/>
  <c r="H196" i="38"/>
  <c r="J192" i="38"/>
  <c r="L191" i="38"/>
  <c r="H191" i="38"/>
  <c r="J190" i="38"/>
  <c r="L189" i="38"/>
  <c r="H189" i="38"/>
  <c r="H193" i="38" s="1"/>
  <c r="J188" i="38"/>
  <c r="I199" i="38"/>
  <c r="K196" i="38"/>
  <c r="G191" i="38"/>
  <c r="I188" i="38"/>
  <c r="I193" i="38" s="1"/>
  <c r="I201" i="38"/>
  <c r="K198" i="38"/>
  <c r="G196" i="38"/>
  <c r="G201" i="38" s="1"/>
  <c r="G130" i="38" s="1"/>
  <c r="G131" i="38" s="1"/>
  <c r="I190" i="38"/>
  <c r="K200" i="38"/>
  <c r="G198" i="38"/>
  <c r="I192" i="38"/>
  <c r="K189" i="38"/>
  <c r="I197" i="38"/>
  <c r="G189" i="38"/>
  <c r="K191" i="38"/>
  <c r="G200" i="38"/>
  <c r="L62" i="38"/>
  <c r="L5" i="38" s="1"/>
  <c r="L6" i="38"/>
  <c r="F427" i="37"/>
  <c r="F57" i="37" s="1"/>
  <c r="G57" i="37"/>
  <c r="F424" i="37"/>
  <c r="F54" i="37" s="1"/>
  <c r="G54" i="37"/>
  <c r="F420" i="37"/>
  <c r="F52" i="37" s="1"/>
  <c r="G52" i="37"/>
  <c r="L222" i="38"/>
  <c r="I413" i="39"/>
  <c r="I414" i="39" s="1"/>
  <c r="I321" i="39"/>
  <c r="I20" i="39" s="1"/>
  <c r="I317" i="39"/>
  <c r="M25" i="39"/>
  <c r="M391" i="39"/>
  <c r="K456" i="39"/>
  <c r="K329" i="39" s="1"/>
  <c r="I38" i="38" l="1"/>
  <c r="I299" i="38"/>
  <c r="K233" i="39"/>
  <c r="M20" i="39"/>
  <c r="J193" i="38"/>
  <c r="J38" i="38"/>
  <c r="M415" i="39"/>
  <c r="I415" i="39"/>
  <c r="I446" i="39" s="1"/>
  <c r="G168" i="39"/>
  <c r="F168" i="39" s="1"/>
  <c r="G164" i="39"/>
  <c r="F164" i="39" s="1"/>
  <c r="L193" i="38"/>
  <c r="H201" i="38"/>
  <c r="G381" i="39"/>
  <c r="F381" i="39" s="1"/>
  <c r="L201" i="38"/>
  <c r="G377" i="39"/>
  <c r="G385" i="39" s="1"/>
  <c r="K201" i="38"/>
  <c r="J201" i="38"/>
  <c r="G165" i="39"/>
  <c r="F165" i="39" s="1"/>
  <c r="G167" i="39"/>
  <c r="F167" i="39" s="1"/>
  <c r="M438" i="39"/>
  <c r="M76" i="37"/>
  <c r="M78" i="37" s="1"/>
  <c r="M432" i="40"/>
  <c r="M437" i="40" s="1"/>
  <c r="M442" i="40" s="1"/>
  <c r="M432" i="41"/>
  <c r="M437" i="41" s="1"/>
  <c r="M442" i="41" s="1"/>
  <c r="H6" i="37"/>
  <c r="I16" i="37"/>
  <c r="I17" i="37" s="1"/>
  <c r="K16" i="40"/>
  <c r="K17" i="40" s="1"/>
  <c r="N431" i="41"/>
  <c r="N432" i="41" s="1"/>
  <c r="N437" i="41" s="1"/>
  <c r="N442" i="41" s="1"/>
  <c r="G44" i="37"/>
  <c r="G314" i="37"/>
  <c r="P16" i="37"/>
  <c r="Q50" i="37"/>
  <c r="O397" i="37"/>
  <c r="M50" i="37"/>
  <c r="F378" i="37"/>
  <c r="I182" i="40"/>
  <c r="I174" i="40"/>
  <c r="I97" i="40" s="1"/>
  <c r="I96" i="40" s="1"/>
  <c r="I91" i="40" s="1"/>
  <c r="I180" i="40" s="1"/>
  <c r="H184" i="40"/>
  <c r="F184" i="40" s="1"/>
  <c r="F163" i="40"/>
  <c r="H182" i="40"/>
  <c r="H174" i="40"/>
  <c r="F161" i="40"/>
  <c r="N414" i="40"/>
  <c r="N431" i="40" s="1"/>
  <c r="N432" i="40" s="1"/>
  <c r="K200" i="40"/>
  <c r="K48" i="40" s="1"/>
  <c r="K414" i="40"/>
  <c r="K431" i="40" s="1"/>
  <c r="K432" i="40" s="1"/>
  <c r="G198" i="40"/>
  <c r="F174" i="41"/>
  <c r="F184" i="41"/>
  <c r="F97" i="41"/>
  <c r="L198" i="41"/>
  <c r="L47" i="41" s="1"/>
  <c r="N198" i="41"/>
  <c r="G91" i="41"/>
  <c r="F96" i="41"/>
  <c r="L398" i="41"/>
  <c r="L390" i="41"/>
  <c r="M215" i="41"/>
  <c r="M216" i="41" s="1"/>
  <c r="M105" i="41"/>
  <c r="M104" i="41" s="1"/>
  <c r="M103" i="41" s="1"/>
  <c r="M47" i="41"/>
  <c r="M61" i="41" s="1"/>
  <c r="M62" i="41" s="1"/>
  <c r="M464" i="40"/>
  <c r="M467" i="40" s="1"/>
  <c r="M110" i="40"/>
  <c r="L16" i="40"/>
  <c r="L17" i="40" s="1"/>
  <c r="L313" i="40"/>
  <c r="L312" i="40" s="1"/>
  <c r="L307" i="40" s="1"/>
  <c r="H47" i="40"/>
  <c r="G96" i="40"/>
  <c r="J110" i="40"/>
  <c r="J413" i="40"/>
  <c r="J417" i="40" s="1"/>
  <c r="N396" i="40"/>
  <c r="J16" i="40"/>
  <c r="J17" i="40" s="1"/>
  <c r="J313" i="40"/>
  <c r="J312" i="40" s="1"/>
  <c r="J307" i="40" s="1"/>
  <c r="K396" i="40"/>
  <c r="L215" i="40"/>
  <c r="L216" i="40" s="1"/>
  <c r="L105" i="40"/>
  <c r="L104" i="40" s="1"/>
  <c r="L103" i="40" s="1"/>
  <c r="N249" i="40"/>
  <c r="N252" i="40" s="1"/>
  <c r="N222" i="40"/>
  <c r="N227" i="40" s="1"/>
  <c r="M248" i="40"/>
  <c r="M109" i="40"/>
  <c r="J248" i="40"/>
  <c r="J109" i="40"/>
  <c r="L413" i="40"/>
  <c r="L417" i="40" s="1"/>
  <c r="L49" i="40" s="1"/>
  <c r="K105" i="40"/>
  <c r="K104" i="40" s="1"/>
  <c r="K103" i="40" s="1"/>
  <c r="K230" i="39"/>
  <c r="K240" i="39" s="1"/>
  <c r="K239" i="39"/>
  <c r="K231" i="39"/>
  <c r="K241" i="39" s="1"/>
  <c r="J178" i="38"/>
  <c r="J181" i="38" s="1"/>
  <c r="J160" i="38"/>
  <c r="J170" i="38" s="1"/>
  <c r="J158" i="38"/>
  <c r="J168" i="38" s="1"/>
  <c r="I160" i="38"/>
  <c r="I170" i="38" s="1"/>
  <c r="I158" i="38"/>
  <c r="I168" i="38" s="1"/>
  <c r="I178" i="38"/>
  <c r="I181" i="38" s="1"/>
  <c r="N180" i="37"/>
  <c r="M318" i="39"/>
  <c r="M78" i="39"/>
  <c r="M81" i="39" s="1"/>
  <c r="M4" i="39" s="1"/>
  <c r="M56" i="39"/>
  <c r="M390" i="37"/>
  <c r="M397" i="37"/>
  <c r="M105" i="39"/>
  <c r="I111" i="39"/>
  <c r="I110" i="39" s="1"/>
  <c r="I218" i="39"/>
  <c r="I219" i="39" s="1"/>
  <c r="I224" i="39" s="1"/>
  <c r="I249" i="39" s="1"/>
  <c r="I252" i="39" s="1"/>
  <c r="I233" i="39"/>
  <c r="I229" i="39"/>
  <c r="J233" i="39"/>
  <c r="J229" i="39"/>
  <c r="N413" i="39"/>
  <c r="N414" i="39" s="1"/>
  <c r="N321" i="39"/>
  <c r="N20" i="39" s="1"/>
  <c r="N317" i="39"/>
  <c r="M65" i="39"/>
  <c r="M68" i="39"/>
  <c r="M75" i="39"/>
  <c r="L413" i="39"/>
  <c r="L414" i="39" s="1"/>
  <c r="L321" i="39"/>
  <c r="L20" i="39" s="1"/>
  <c r="L317" i="39"/>
  <c r="G325" i="39"/>
  <c r="G59" i="39"/>
  <c r="P215" i="37"/>
  <c r="P216" i="37" s="1"/>
  <c r="M325" i="39"/>
  <c r="M59" i="39"/>
  <c r="J218" i="39"/>
  <c r="J219" i="39" s="1"/>
  <c r="J224" i="39" s="1"/>
  <c r="J249" i="39" s="1"/>
  <c r="J252" i="39" s="1"/>
  <c r="G228" i="38"/>
  <c r="F228" i="38" s="1"/>
  <c r="F317" i="38"/>
  <c r="F220" i="38"/>
  <c r="G14" i="38"/>
  <c r="F14" i="38" s="1"/>
  <c r="I217" i="38"/>
  <c r="I12" i="38" s="1"/>
  <c r="I58" i="38"/>
  <c r="I61" i="38" s="1"/>
  <c r="I4" i="38" s="1"/>
  <c r="F181" i="37"/>
  <c r="H416" i="37"/>
  <c r="J413" i="39"/>
  <c r="J414" i="39" s="1"/>
  <c r="J415" i="39"/>
  <c r="J442" i="39" s="1"/>
  <c r="J321" i="39"/>
  <c r="J20" i="39" s="1"/>
  <c r="J317" i="39"/>
  <c r="J225" i="39"/>
  <c r="I318" i="39"/>
  <c r="I18" i="39" s="1"/>
  <c r="I78" i="39"/>
  <c r="I81" i="39" s="1"/>
  <c r="I4" i="39" s="1"/>
  <c r="I56" i="39"/>
  <c r="K218" i="39"/>
  <c r="K219" i="39" s="1"/>
  <c r="K224" i="39" s="1"/>
  <c r="K249" i="39" s="1"/>
  <c r="K252" i="39" s="1"/>
  <c r="K111" i="39"/>
  <c r="K110" i="39" s="1"/>
  <c r="O180" i="37"/>
  <c r="P396" i="37"/>
  <c r="M202" i="39"/>
  <c r="M111" i="39" s="1"/>
  <c r="M110" i="39" s="1"/>
  <c r="F45" i="39"/>
  <c r="H395" i="39"/>
  <c r="H309" i="39"/>
  <c r="H49" i="39"/>
  <c r="H50" i="39" s="1"/>
  <c r="H337" i="39"/>
  <c r="F172" i="38"/>
  <c r="G83" i="38"/>
  <c r="F83" i="38" s="1"/>
  <c r="Q215" i="37"/>
  <c r="Q216" i="37" s="1"/>
  <c r="Q105" i="37"/>
  <c r="Q104" i="37" s="1"/>
  <c r="Q103" i="37" s="1"/>
  <c r="J217" i="38"/>
  <c r="J12" i="38" s="1"/>
  <c r="J58" i="38"/>
  <c r="J61" i="38" s="1"/>
  <c r="J4" i="38" s="1"/>
  <c r="N25" i="39"/>
  <c r="N391" i="39"/>
  <c r="L25" i="39"/>
  <c r="L391" i="39"/>
  <c r="H159" i="38"/>
  <c r="H169" i="38" s="1"/>
  <c r="H82" i="38" s="1"/>
  <c r="H177" i="38"/>
  <c r="J111" i="39"/>
  <c r="J110" i="39" s="1"/>
  <c r="I60" i="38"/>
  <c r="I57" i="38"/>
  <c r="I59" i="38" s="1"/>
  <c r="I438" i="39"/>
  <c r="K159" i="38"/>
  <c r="K169" i="38" s="1"/>
  <c r="K82" i="38" s="1"/>
  <c r="H199" i="37"/>
  <c r="H202" i="37" s="1"/>
  <c r="H50" i="37" s="1"/>
  <c r="F182" i="37"/>
  <c r="J25" i="39"/>
  <c r="J391" i="39"/>
  <c r="K225" i="39"/>
  <c r="K59" i="38"/>
  <c r="G224" i="38"/>
  <c r="F224" i="38" s="1"/>
  <c r="G39" i="38"/>
  <c r="F39" i="38" s="1"/>
  <c r="N229" i="39"/>
  <c r="N233" i="39"/>
  <c r="F163" i="39"/>
  <c r="G172" i="39"/>
  <c r="I324" i="39"/>
  <c r="I323" i="39" s="1"/>
  <c r="I58" i="39"/>
  <c r="O199" i="37"/>
  <c r="O202" i="37" s="1"/>
  <c r="O50" i="37" s="1"/>
  <c r="M324" i="39"/>
  <c r="M431" i="39"/>
  <c r="M432" i="39" s="1"/>
  <c r="M437" i="39" s="1"/>
  <c r="I396" i="37"/>
  <c r="Q390" i="37"/>
  <c r="Q397" i="37"/>
  <c r="H16" i="37"/>
  <c r="H17" i="37" s="1"/>
  <c r="H313" i="37"/>
  <c r="H312" i="37" s="1"/>
  <c r="H307" i="37" s="1"/>
  <c r="M6" i="37"/>
  <c r="M81" i="37"/>
  <c r="Q81" i="37"/>
  <c r="Q5" i="37" s="1"/>
  <c r="Q6" i="37"/>
  <c r="F216" i="38"/>
  <c r="G217" i="38"/>
  <c r="G58" i="38"/>
  <c r="J60" i="38"/>
  <c r="J57" i="38"/>
  <c r="J59" i="38" s="1"/>
  <c r="H202" i="39"/>
  <c r="H225" i="39" s="1"/>
  <c r="N375" i="37"/>
  <c r="F375" i="37" s="1"/>
  <c r="F307" i="38"/>
  <c r="O16" i="37"/>
  <c r="O313" i="37"/>
  <c r="O312" i="37" s="1"/>
  <c r="O307" i="37" s="1"/>
  <c r="G97" i="37"/>
  <c r="F174" i="37"/>
  <c r="N485" i="39"/>
  <c r="J485" i="39"/>
  <c r="N484" i="39"/>
  <c r="J484" i="39"/>
  <c r="N483" i="39"/>
  <c r="J483" i="39"/>
  <c r="N482" i="39"/>
  <c r="J482" i="39"/>
  <c r="N481" i="39"/>
  <c r="J481" i="39"/>
  <c r="N472" i="39"/>
  <c r="J472" i="39"/>
  <c r="M485" i="39"/>
  <c r="I485" i="39"/>
  <c r="M484" i="39"/>
  <c r="I484" i="39"/>
  <c r="M483" i="39"/>
  <c r="I483" i="39"/>
  <c r="M482" i="39"/>
  <c r="I482" i="39"/>
  <c r="M481" i="39"/>
  <c r="I481" i="39"/>
  <c r="M472" i="39"/>
  <c r="I472" i="39"/>
  <c r="L485" i="39"/>
  <c r="H485" i="39"/>
  <c r="L484" i="39"/>
  <c r="H484" i="39"/>
  <c r="L483" i="39"/>
  <c r="H483" i="39"/>
  <c r="L482" i="39"/>
  <c r="H482" i="39"/>
  <c r="L481" i="39"/>
  <c r="H481" i="39"/>
  <c r="L472" i="39"/>
  <c r="H472" i="39"/>
  <c r="G484" i="39"/>
  <c r="G482" i="39"/>
  <c r="K485" i="39"/>
  <c r="K483" i="39"/>
  <c r="K481" i="39"/>
  <c r="K472" i="39"/>
  <c r="G485" i="39"/>
  <c r="G483" i="39"/>
  <c r="G481" i="39"/>
  <c r="G472" i="39"/>
  <c r="K484" i="39"/>
  <c r="K482" i="39"/>
  <c r="K293" i="38"/>
  <c r="K298" i="38" s="1"/>
  <c r="K62" i="38"/>
  <c r="K5" i="38" s="1"/>
  <c r="K6" i="38"/>
  <c r="L202" i="39"/>
  <c r="L218" i="39" s="1"/>
  <c r="L219" i="39" s="1"/>
  <c r="L224" i="39" s="1"/>
  <c r="L249" i="39" s="1"/>
  <c r="L252" i="39" s="1"/>
  <c r="F112" i="39"/>
  <c r="P48" i="37"/>
  <c r="F131" i="38"/>
  <c r="F147" i="38" s="1"/>
  <c r="G154" i="38"/>
  <c r="F154" i="38" s="1"/>
  <c r="G147" i="38"/>
  <c r="G148" i="38" s="1"/>
  <c r="G78" i="38"/>
  <c r="K105" i="39"/>
  <c r="F243" i="39"/>
  <c r="G116" i="39"/>
  <c r="F116" i="39" s="1"/>
  <c r="L159" i="38"/>
  <c r="L169" i="38" s="1"/>
  <c r="L82" i="38" s="1"/>
  <c r="I65" i="39"/>
  <c r="I68" i="39"/>
  <c r="I75" i="39"/>
  <c r="G395" i="39"/>
  <c r="F385" i="39"/>
  <c r="F395" i="39" s="1"/>
  <c r="G309" i="39"/>
  <c r="G49" i="39"/>
  <c r="G337" i="39"/>
  <c r="K395" i="39"/>
  <c r="K309" i="39"/>
  <c r="K49" i="39"/>
  <c r="K50" i="39" s="1"/>
  <c r="K337" i="39"/>
  <c r="I345" i="38"/>
  <c r="K344" i="38"/>
  <c r="G344" i="38"/>
  <c r="I343" i="38"/>
  <c r="K342" i="38"/>
  <c r="G342" i="38"/>
  <c r="I341" i="38"/>
  <c r="K337" i="38"/>
  <c r="G337" i="38"/>
  <c r="I336" i="38"/>
  <c r="K335" i="38"/>
  <c r="G335" i="38"/>
  <c r="I334" i="38"/>
  <c r="K333" i="38"/>
  <c r="K338" i="38" s="1"/>
  <c r="G333" i="38"/>
  <c r="G338" i="38" s="1"/>
  <c r="L345" i="38"/>
  <c r="H345" i="38"/>
  <c r="J344" i="38"/>
  <c r="L343" i="38"/>
  <c r="H343" i="38"/>
  <c r="J342" i="38"/>
  <c r="L341" i="38"/>
  <c r="H341" i="38"/>
  <c r="H346" i="38" s="1"/>
  <c r="J337" i="38"/>
  <c r="L336" i="38"/>
  <c r="H336" i="38"/>
  <c r="J335" i="38"/>
  <c r="L334" i="38"/>
  <c r="H334" i="38"/>
  <c r="J333" i="38"/>
  <c r="K345" i="38"/>
  <c r="G345" i="38"/>
  <c r="I344" i="38"/>
  <c r="K343" i="38"/>
  <c r="G343" i="38"/>
  <c r="I342" i="38"/>
  <c r="K341" i="38"/>
  <c r="G341" i="38"/>
  <c r="I337" i="38"/>
  <c r="K336" i="38"/>
  <c r="G336" i="38"/>
  <c r="I335" i="38"/>
  <c r="K334" i="38"/>
  <c r="G334" i="38"/>
  <c r="I333" i="38"/>
  <c r="L346" i="38"/>
  <c r="H344" i="38"/>
  <c r="J341" i="38"/>
  <c r="L337" i="38"/>
  <c r="H335" i="38"/>
  <c r="J343" i="38"/>
  <c r="H337" i="38"/>
  <c r="J334" i="38"/>
  <c r="J338" i="38" s="1"/>
  <c r="J345" i="38"/>
  <c r="L342" i="38"/>
  <c r="J336" i="38"/>
  <c r="L333" i="38"/>
  <c r="L344" i="38"/>
  <c r="H342" i="38"/>
  <c r="L335" i="38"/>
  <c r="H333" i="38"/>
  <c r="J292" i="38"/>
  <c r="J43" i="38" s="1"/>
  <c r="J44" i="38" s="1"/>
  <c r="J223" i="38"/>
  <c r="J222" i="38" s="1"/>
  <c r="N308" i="39"/>
  <c r="N15" i="39"/>
  <c r="N14" i="39" s="1"/>
  <c r="N55" i="39" s="1"/>
  <c r="L15" i="39"/>
  <c r="L14" i="39" s="1"/>
  <c r="L55" i="39" s="1"/>
  <c r="L308" i="39"/>
  <c r="H105" i="39"/>
  <c r="I225" i="39"/>
  <c r="I292" i="38"/>
  <c r="I43" i="38" s="1"/>
  <c r="I44" i="38" s="1"/>
  <c r="I223" i="38"/>
  <c r="I222" i="38" s="1"/>
  <c r="L43" i="38"/>
  <c r="L44" i="38" s="1"/>
  <c r="L293" i="38"/>
  <c r="L298" i="38" s="1"/>
  <c r="G320" i="39"/>
  <c r="G319" i="39"/>
  <c r="G456" i="39"/>
  <c r="H180" i="37"/>
  <c r="J308" i="39"/>
  <c r="J15" i="39"/>
  <c r="J14" i="39" s="1"/>
  <c r="J55" i="39" s="1"/>
  <c r="L105" i="39"/>
  <c r="H305" i="38"/>
  <c r="H315" i="38" s="1"/>
  <c r="H303" i="38"/>
  <c r="H313" i="38" s="1"/>
  <c r="H49" i="38"/>
  <c r="H52" i="38" s="1"/>
  <c r="H323" i="38"/>
  <c r="H326" i="38" s="1"/>
  <c r="L71" i="8"/>
  <c r="K71" i="8"/>
  <c r="J71" i="8"/>
  <c r="L47" i="9"/>
  <c r="K47" i="9"/>
  <c r="J47" i="9"/>
  <c r="J70" i="9"/>
  <c r="F44" i="38" l="1"/>
  <c r="L177" i="38"/>
  <c r="J346" i="38"/>
  <c r="J438" i="39"/>
  <c r="J446" i="39"/>
  <c r="M446" i="39"/>
  <c r="M442" i="39"/>
  <c r="L225" i="39"/>
  <c r="L338" i="38"/>
  <c r="M58" i="39"/>
  <c r="I338" i="38"/>
  <c r="H338" i="38"/>
  <c r="G346" i="38"/>
  <c r="G275" i="38" s="1"/>
  <c r="G276" i="38" s="1"/>
  <c r="G223" i="38" s="1"/>
  <c r="M323" i="39"/>
  <c r="I442" i="39"/>
  <c r="I452" i="39" s="1"/>
  <c r="K346" i="38"/>
  <c r="G46" i="39"/>
  <c r="F46" i="39" s="1"/>
  <c r="I346" i="38"/>
  <c r="F377" i="39"/>
  <c r="I431" i="39"/>
  <c r="I63" i="39" s="1"/>
  <c r="I64" i="39" s="1"/>
  <c r="K177" i="38"/>
  <c r="M464" i="41"/>
  <c r="M467" i="41" s="1"/>
  <c r="P62" i="37"/>
  <c r="P17" i="37"/>
  <c r="O17" i="37"/>
  <c r="M5" i="37"/>
  <c r="N464" i="41"/>
  <c r="N467" i="41" s="1"/>
  <c r="N321" i="40"/>
  <c r="N320" i="40" s="1"/>
  <c r="N319" i="40" s="1"/>
  <c r="N47" i="40"/>
  <c r="N61" i="40" s="1"/>
  <c r="N62" i="40" s="1"/>
  <c r="O200" i="37"/>
  <c r="O48" i="37" s="1"/>
  <c r="H200" i="37"/>
  <c r="K215" i="40"/>
  <c r="K216" i="40" s="1"/>
  <c r="K249" i="40" s="1"/>
  <c r="K252" i="40" s="1"/>
  <c r="J414" i="40"/>
  <c r="J47" i="40" s="1"/>
  <c r="F198" i="40"/>
  <c r="K47" i="40"/>
  <c r="K61" i="40" s="1"/>
  <c r="K62" i="40" s="1"/>
  <c r="F182" i="40"/>
  <c r="H97" i="40"/>
  <c r="F174" i="40"/>
  <c r="K321" i="40"/>
  <c r="K320" i="40" s="1"/>
  <c r="K319" i="40" s="1"/>
  <c r="M108" i="40"/>
  <c r="M102" i="40" s="1"/>
  <c r="M113" i="40" s="1"/>
  <c r="J108" i="40"/>
  <c r="J102" i="40" s="1"/>
  <c r="J113" i="40" s="1"/>
  <c r="L215" i="41"/>
  <c r="L216" i="41" s="1"/>
  <c r="L249" i="41" s="1"/>
  <c r="L252" i="41" s="1"/>
  <c r="L105" i="41"/>
  <c r="L104" i="41" s="1"/>
  <c r="L103" i="41" s="1"/>
  <c r="L415" i="41"/>
  <c r="L418" i="41" s="1"/>
  <c r="N105" i="41"/>
  <c r="N215" i="41"/>
  <c r="N216" i="41" s="1"/>
  <c r="N47" i="41"/>
  <c r="N61" i="41" s="1"/>
  <c r="N62" i="41" s="1"/>
  <c r="M249" i="41"/>
  <c r="M252" i="41" s="1"/>
  <c r="M222" i="41"/>
  <c r="M227" i="41" s="1"/>
  <c r="M444" i="41"/>
  <c r="M454" i="41" s="1"/>
  <c r="M443" i="41"/>
  <c r="M453" i="41" s="1"/>
  <c r="M452" i="41"/>
  <c r="L16" i="41"/>
  <c r="L313" i="41"/>
  <c r="G180" i="41"/>
  <c r="F180" i="41" s="1"/>
  <c r="F91" i="41"/>
  <c r="N443" i="41"/>
  <c r="N453" i="41" s="1"/>
  <c r="N452" i="41"/>
  <c r="N444" i="41"/>
  <c r="N454" i="41" s="1"/>
  <c r="N237" i="40"/>
  <c r="N229" i="40"/>
  <c r="N239" i="40" s="1"/>
  <c r="N228" i="40"/>
  <c r="N238" i="40" s="1"/>
  <c r="M250" i="40"/>
  <c r="L396" i="40"/>
  <c r="J250" i="40"/>
  <c r="K464" i="40"/>
  <c r="K467" i="40" s="1"/>
  <c r="K437" i="40"/>
  <c r="K442" i="40" s="1"/>
  <c r="G91" i="40"/>
  <c r="L414" i="40"/>
  <c r="L222" i="40"/>
  <c r="L227" i="40" s="1"/>
  <c r="L249" i="40"/>
  <c r="L252" i="40" s="1"/>
  <c r="J396" i="40"/>
  <c r="N464" i="40"/>
  <c r="N467" i="40" s="1"/>
  <c r="N437" i="40"/>
  <c r="N442" i="40" s="1"/>
  <c r="J49" i="40"/>
  <c r="M444" i="40"/>
  <c r="M454" i="40" s="1"/>
  <c r="M443" i="40"/>
  <c r="M453" i="40" s="1"/>
  <c r="M452" i="40"/>
  <c r="I46" i="38"/>
  <c r="L46" i="38"/>
  <c r="H46" i="38"/>
  <c r="K46" i="38"/>
  <c r="G46" i="38"/>
  <c r="J46" i="38"/>
  <c r="G38" i="38"/>
  <c r="F38" i="38" s="1"/>
  <c r="M462" i="39"/>
  <c r="M465" i="39" s="1"/>
  <c r="K25" i="39"/>
  <c r="K391" i="39"/>
  <c r="F337" i="39"/>
  <c r="G391" i="39"/>
  <c r="G413" i="39"/>
  <c r="G414" i="39" s="1"/>
  <c r="G321" i="39"/>
  <c r="G317" i="39"/>
  <c r="G207" i="38"/>
  <c r="E158" i="38" s="1"/>
  <c r="E168" i="38" s="1"/>
  <c r="G206" i="38"/>
  <c r="G205" i="38"/>
  <c r="G204" i="38"/>
  <c r="J62" i="38"/>
  <c r="J5" i="38" s="1"/>
  <c r="J6" i="38"/>
  <c r="Q413" i="37"/>
  <c r="Q417" i="37" s="1"/>
  <c r="Q49" i="37" s="1"/>
  <c r="L111" i="39"/>
  <c r="L110" i="39" s="1"/>
  <c r="K179" i="38"/>
  <c r="H308" i="39"/>
  <c r="H15" i="39"/>
  <c r="H14" i="39" s="1"/>
  <c r="H55" i="39" s="1"/>
  <c r="H48" i="37"/>
  <c r="L318" i="39"/>
  <c r="L18" i="39" s="1"/>
  <c r="L78" i="39"/>
  <c r="L81" i="39" s="1"/>
  <c r="L4" i="39" s="1"/>
  <c r="L56" i="39"/>
  <c r="I239" i="39"/>
  <c r="I231" i="39"/>
  <c r="I241" i="39" s="1"/>
  <c r="I230" i="39"/>
  <c r="I240" i="39" s="1"/>
  <c r="I115" i="39" s="1"/>
  <c r="M218" i="39"/>
  <c r="M219" i="39" s="1"/>
  <c r="M224" i="39" s="1"/>
  <c r="M249" i="39" s="1"/>
  <c r="M252" i="39" s="1"/>
  <c r="J159" i="38"/>
  <c r="J169" i="38" s="1"/>
  <c r="J82" i="38" s="1"/>
  <c r="L305" i="38"/>
  <c r="L315" i="38" s="1"/>
  <c r="L303" i="38"/>
  <c r="L313" i="38" s="1"/>
  <c r="L323" i="38"/>
  <c r="L326" i="38" s="1"/>
  <c r="L49" i="38"/>
  <c r="L52" i="38" s="1"/>
  <c r="F49" i="39"/>
  <c r="G50" i="39"/>
  <c r="F50" i="39" s="1"/>
  <c r="K323" i="38"/>
  <c r="K326" i="38" s="1"/>
  <c r="K305" i="38"/>
  <c r="K315" i="38" s="1"/>
  <c r="K303" i="38"/>
  <c r="K313" i="38" s="1"/>
  <c r="K49" i="38"/>
  <c r="K52" i="38" s="1"/>
  <c r="H233" i="39"/>
  <c r="H229" i="39"/>
  <c r="F58" i="38"/>
  <c r="G61" i="38"/>
  <c r="Q16" i="37"/>
  <c r="Q17" i="37" s="1"/>
  <c r="Q313" i="37"/>
  <c r="Q312" i="37" s="1"/>
  <c r="Q307" i="37" s="1"/>
  <c r="N230" i="39"/>
  <c r="N240" i="39" s="1"/>
  <c r="N231" i="39"/>
  <c r="N241" i="39" s="1"/>
  <c r="N239" i="39"/>
  <c r="J452" i="39"/>
  <c r="J444" i="39"/>
  <c r="J454" i="39" s="1"/>
  <c r="J443" i="39"/>
  <c r="J453" i="39" s="1"/>
  <c r="J328" i="39" s="1"/>
  <c r="F202" i="37"/>
  <c r="I6" i="38"/>
  <c r="I62" i="38"/>
  <c r="I5" i="38" s="1"/>
  <c r="H218" i="39"/>
  <c r="H219" i="39" s="1"/>
  <c r="H224" i="39" s="1"/>
  <c r="H249" i="39" s="1"/>
  <c r="H252" i="39" s="1"/>
  <c r="H179" i="38"/>
  <c r="J293" i="38"/>
  <c r="J298" i="38" s="1"/>
  <c r="H413" i="39"/>
  <c r="H414" i="39" s="1"/>
  <c r="H321" i="39"/>
  <c r="H20" i="39" s="1"/>
  <c r="H317" i="39"/>
  <c r="P222" i="37"/>
  <c r="P227" i="37" s="1"/>
  <c r="P249" i="37"/>
  <c r="P252" i="37" s="1"/>
  <c r="N318" i="39"/>
  <c r="N18" i="39" s="1"/>
  <c r="N78" i="39"/>
  <c r="N81" i="39" s="1"/>
  <c r="N4" i="39" s="1"/>
  <c r="N56" i="39"/>
  <c r="N324" i="39"/>
  <c r="N323" i="39" s="1"/>
  <c r="N58" i="39"/>
  <c r="J65" i="39"/>
  <c r="J68" i="39"/>
  <c r="J75" i="39"/>
  <c r="F456" i="39"/>
  <c r="G329" i="39"/>
  <c r="F329" i="39" s="1"/>
  <c r="L75" i="39"/>
  <c r="L65" i="39"/>
  <c r="L68" i="39"/>
  <c r="K308" i="39"/>
  <c r="K15" i="39"/>
  <c r="K14" i="39" s="1"/>
  <c r="K55" i="39" s="1"/>
  <c r="F309" i="39"/>
  <c r="G308" i="39"/>
  <c r="G15" i="39"/>
  <c r="G14" i="39" s="1"/>
  <c r="G55" i="39" s="1"/>
  <c r="L179" i="38"/>
  <c r="F78" i="38"/>
  <c r="G77" i="38"/>
  <c r="L233" i="39"/>
  <c r="L229" i="39"/>
  <c r="O396" i="37"/>
  <c r="F217" i="38"/>
  <c r="G12" i="38"/>
  <c r="F12" i="38" s="1"/>
  <c r="H396" i="37"/>
  <c r="F172" i="39"/>
  <c r="F182" i="39" s="1"/>
  <c r="G124" i="39"/>
  <c r="G182" i="39"/>
  <c r="G96" i="39"/>
  <c r="H111" i="39"/>
  <c r="H110" i="39" s="1"/>
  <c r="H25" i="39"/>
  <c r="H391" i="39"/>
  <c r="F59" i="39"/>
  <c r="J230" i="39"/>
  <c r="J240" i="39" s="1"/>
  <c r="J231" i="39"/>
  <c r="J241" i="39" s="1"/>
  <c r="J239" i="39"/>
  <c r="I159" i="38"/>
  <c r="I169" i="38" s="1"/>
  <c r="I82" i="38" s="1"/>
  <c r="K248" i="39"/>
  <c r="H304" i="38"/>
  <c r="H314" i="38" s="1"/>
  <c r="H227" i="38" s="1"/>
  <c r="H322" i="38"/>
  <c r="N65" i="39"/>
  <c r="N68" i="39"/>
  <c r="N76" i="39" s="1"/>
  <c r="N75" i="39"/>
  <c r="K413" i="39"/>
  <c r="K414" i="39" s="1"/>
  <c r="K321" i="39"/>
  <c r="K20" i="39" s="1"/>
  <c r="K317" i="39"/>
  <c r="I76" i="39"/>
  <c r="F148" i="38"/>
  <c r="F153" i="38" s="1"/>
  <c r="G153" i="38"/>
  <c r="F97" i="37"/>
  <c r="G96" i="37"/>
  <c r="Q249" i="37"/>
  <c r="Q252" i="37" s="1"/>
  <c r="Q222" i="37"/>
  <c r="Q227" i="37" s="1"/>
  <c r="M233" i="39"/>
  <c r="M229" i="39"/>
  <c r="J318" i="39"/>
  <c r="J18" i="39" s="1"/>
  <c r="J78" i="39"/>
  <c r="J81" i="39" s="1"/>
  <c r="J4" i="39" s="1"/>
  <c r="J56" i="39"/>
  <c r="J324" i="39"/>
  <c r="J323" i="39" s="1"/>
  <c r="J58" i="39"/>
  <c r="J431" i="39"/>
  <c r="J63" i="39" s="1"/>
  <c r="J64" i="39" s="1"/>
  <c r="M225" i="39"/>
  <c r="I293" i="38"/>
  <c r="I298" i="38" s="1"/>
  <c r="F325" i="39"/>
  <c r="L415" i="39"/>
  <c r="M76" i="39"/>
  <c r="N415" i="39"/>
  <c r="N438" i="39" s="1"/>
  <c r="M16" i="37"/>
  <c r="M17" i="37" s="1"/>
  <c r="M313" i="37"/>
  <c r="M18" i="39"/>
  <c r="K115" i="39"/>
  <c r="L70" i="9"/>
  <c r="K70" i="9"/>
  <c r="K415" i="39" l="1"/>
  <c r="K442" i="39" s="1"/>
  <c r="I432" i="39"/>
  <c r="I437" i="39" s="1"/>
  <c r="G299" i="38"/>
  <c r="F299" i="38" s="1"/>
  <c r="M452" i="39"/>
  <c r="M444" i="39"/>
  <c r="M454" i="39" s="1"/>
  <c r="M443" i="39"/>
  <c r="M453" i="39" s="1"/>
  <c r="M328" i="39" s="1"/>
  <c r="F276" i="38"/>
  <c r="F292" i="38" s="1"/>
  <c r="G292" i="38"/>
  <c r="G293" i="38" s="1"/>
  <c r="I443" i="39"/>
  <c r="I453" i="39" s="1"/>
  <c r="I461" i="39" s="1"/>
  <c r="F46" i="38"/>
  <c r="F47" i="38" s="1"/>
  <c r="J47" i="38" s="1"/>
  <c r="K222" i="40"/>
  <c r="K227" i="40" s="1"/>
  <c r="K229" i="40" s="1"/>
  <c r="K239" i="40" s="1"/>
  <c r="M63" i="39"/>
  <c r="M64" i="39" s="1"/>
  <c r="I444" i="39"/>
  <c r="I454" i="39" s="1"/>
  <c r="O105" i="37"/>
  <c r="O104" i="37" s="1"/>
  <c r="O103" i="37" s="1"/>
  <c r="F200" i="37"/>
  <c r="O215" i="37"/>
  <c r="O216" i="37" s="1"/>
  <c r="O249" i="37" s="1"/>
  <c r="O252" i="37" s="1"/>
  <c r="J321" i="40"/>
  <c r="J320" i="40" s="1"/>
  <c r="J319" i="40" s="1"/>
  <c r="J431" i="40"/>
  <c r="J432" i="40" s="1"/>
  <c r="J437" i="40" s="1"/>
  <c r="J442" i="40" s="1"/>
  <c r="H96" i="40"/>
  <c r="F97" i="40"/>
  <c r="J61" i="40"/>
  <c r="J62" i="40" s="1"/>
  <c r="M326" i="40"/>
  <c r="L222" i="41"/>
  <c r="L227" i="41" s="1"/>
  <c r="L237" i="41" s="1"/>
  <c r="L416" i="41"/>
  <c r="L48" i="41" s="1"/>
  <c r="M326" i="41"/>
  <c r="N326" i="41"/>
  <c r="N104" i="41"/>
  <c r="K289" i="41"/>
  <c r="G289" i="41"/>
  <c r="K288" i="41"/>
  <c r="N289" i="41"/>
  <c r="J289" i="41"/>
  <c r="N288" i="41"/>
  <c r="J288" i="41"/>
  <c r="N287" i="41"/>
  <c r="H289" i="41"/>
  <c r="H288" i="41"/>
  <c r="K287" i="41"/>
  <c r="G287" i="41"/>
  <c r="K286" i="41"/>
  <c r="G286" i="41"/>
  <c r="K285" i="41"/>
  <c r="G285" i="41"/>
  <c r="K281" i="41"/>
  <c r="G281" i="41"/>
  <c r="K280" i="41"/>
  <c r="G280" i="41"/>
  <c r="K279" i="41"/>
  <c r="G279" i="41"/>
  <c r="K278" i="41"/>
  <c r="G278" i="41"/>
  <c r="K277" i="41"/>
  <c r="G277" i="41"/>
  <c r="M289" i="41"/>
  <c r="M288" i="41"/>
  <c r="G288" i="41"/>
  <c r="J287" i="41"/>
  <c r="N286" i="41"/>
  <c r="J286" i="41"/>
  <c r="N285" i="41"/>
  <c r="J285" i="41"/>
  <c r="N281" i="41"/>
  <c r="J281" i="41"/>
  <c r="N280" i="41"/>
  <c r="J280" i="41"/>
  <c r="N279" i="41"/>
  <c r="J279" i="41"/>
  <c r="N278" i="41"/>
  <c r="J278" i="41"/>
  <c r="N277" i="41"/>
  <c r="J277" i="41"/>
  <c r="L289" i="41"/>
  <c r="L288" i="41"/>
  <c r="M287" i="41"/>
  <c r="I287" i="41"/>
  <c r="M286" i="41"/>
  <c r="I286" i="41"/>
  <c r="M285" i="41"/>
  <c r="I285" i="41"/>
  <c r="M281" i="41"/>
  <c r="I281" i="41"/>
  <c r="M280" i="41"/>
  <c r="I280" i="41"/>
  <c r="M279" i="41"/>
  <c r="I279" i="41"/>
  <c r="M278" i="41"/>
  <c r="I278" i="41"/>
  <c r="M277" i="41"/>
  <c r="I277" i="41"/>
  <c r="L287" i="41"/>
  <c r="L285" i="41"/>
  <c r="L281" i="41"/>
  <c r="L279" i="41"/>
  <c r="L277" i="41"/>
  <c r="H287" i="41"/>
  <c r="H285" i="41"/>
  <c r="H281" i="41"/>
  <c r="H279" i="41"/>
  <c r="H277" i="41"/>
  <c r="I289" i="41"/>
  <c r="L286" i="41"/>
  <c r="L280" i="41"/>
  <c r="L278" i="41"/>
  <c r="I288" i="41"/>
  <c r="H286" i="41"/>
  <c r="H280" i="41"/>
  <c r="H278" i="41"/>
  <c r="L312" i="41"/>
  <c r="M463" i="41"/>
  <c r="M325" i="41"/>
  <c r="M229" i="41"/>
  <c r="M239" i="41" s="1"/>
  <c r="M237" i="41"/>
  <c r="M228" i="41"/>
  <c r="M238" i="41" s="1"/>
  <c r="L50" i="41"/>
  <c r="N463" i="41"/>
  <c r="N325" i="41"/>
  <c r="L17" i="41"/>
  <c r="N249" i="41"/>
  <c r="N252" i="41" s="1"/>
  <c r="N222" i="41"/>
  <c r="N227" i="41" s="1"/>
  <c r="L228" i="40"/>
  <c r="L238" i="40" s="1"/>
  <c r="L237" i="40"/>
  <c r="L229" i="40"/>
  <c r="L239" i="40" s="1"/>
  <c r="J251" i="40"/>
  <c r="J256" i="40"/>
  <c r="N110" i="40"/>
  <c r="N443" i="40"/>
  <c r="N453" i="40" s="1"/>
  <c r="N452" i="40"/>
  <c r="N444" i="40"/>
  <c r="N454" i="40" s="1"/>
  <c r="M251" i="40"/>
  <c r="M256" i="40"/>
  <c r="M463" i="40"/>
  <c r="M325" i="40"/>
  <c r="G180" i="40"/>
  <c r="N248" i="40"/>
  <c r="N109" i="40"/>
  <c r="L431" i="40"/>
  <c r="L432" i="40" s="1"/>
  <c r="L321" i="40"/>
  <c r="L320" i="40" s="1"/>
  <c r="L319" i="40" s="1"/>
  <c r="L47" i="40"/>
  <c r="L61" i="40" s="1"/>
  <c r="L62" i="40" s="1"/>
  <c r="K443" i="40"/>
  <c r="K453" i="40" s="1"/>
  <c r="K452" i="40"/>
  <c r="K444" i="40"/>
  <c r="K454" i="40" s="1"/>
  <c r="H47" i="38"/>
  <c r="G47" i="38"/>
  <c r="K47" i="38"/>
  <c r="K443" i="39"/>
  <c r="K453" i="39" s="1"/>
  <c r="K452" i="39"/>
  <c r="K444" i="39"/>
  <c r="K454" i="39" s="1"/>
  <c r="I77" i="39"/>
  <c r="I79" i="39" s="1"/>
  <c r="I80" i="39"/>
  <c r="H324" i="38"/>
  <c r="H50" i="38"/>
  <c r="H51" i="38" s="1"/>
  <c r="K250" i="39"/>
  <c r="J248" i="39"/>
  <c r="G200" i="39"/>
  <c r="G201" i="39" s="1"/>
  <c r="G108" i="39"/>
  <c r="F108" i="39" s="1"/>
  <c r="G104" i="39"/>
  <c r="K318" i="39"/>
  <c r="K18" i="39" s="1"/>
  <c r="K78" i="39"/>
  <c r="K81" i="39" s="1"/>
  <c r="K4" i="39" s="1"/>
  <c r="K56" i="39"/>
  <c r="F124" i="39"/>
  <c r="G178" i="39"/>
  <c r="L239" i="39"/>
  <c r="L231" i="39"/>
  <c r="L241" i="39" s="1"/>
  <c r="L230" i="39"/>
  <c r="L240" i="39" s="1"/>
  <c r="L115" i="39" s="1"/>
  <c r="J76" i="39"/>
  <c r="H415" i="39"/>
  <c r="H58" i="39" s="1"/>
  <c r="H239" i="39"/>
  <c r="H231" i="39"/>
  <c r="H241" i="39" s="1"/>
  <c r="H230" i="39"/>
  <c r="H240" i="39" s="1"/>
  <c r="H115" i="39" s="1"/>
  <c r="N442" i="39"/>
  <c r="N446" i="39"/>
  <c r="I323" i="38"/>
  <c r="I326" i="38" s="1"/>
  <c r="I305" i="38"/>
  <c r="I315" i="38" s="1"/>
  <c r="I303" i="38"/>
  <c r="I313" i="38" s="1"/>
  <c r="I49" i="38"/>
  <c r="I52" i="38" s="1"/>
  <c r="J432" i="39"/>
  <c r="J437" i="39" s="1"/>
  <c r="Q228" i="37"/>
  <c r="Q229" i="37"/>
  <c r="G91" i="37"/>
  <c r="F96" i="37"/>
  <c r="J115" i="39"/>
  <c r="L185" i="38"/>
  <c r="L184" i="38" s="1"/>
  <c r="L182" i="38" s="1"/>
  <c r="L183" i="38" s="1"/>
  <c r="L81" i="38" s="1"/>
  <c r="L80" i="38" s="1"/>
  <c r="L76" i="38" s="1"/>
  <c r="L84" i="38" s="1"/>
  <c r="N431" i="39"/>
  <c r="H318" i="39"/>
  <c r="H18" i="39" s="1"/>
  <c r="H78" i="39"/>
  <c r="H81" i="39" s="1"/>
  <c r="H4" i="39" s="1"/>
  <c r="H56" i="39"/>
  <c r="H185" i="38"/>
  <c r="H184" i="38" s="1"/>
  <c r="H182" i="38" s="1"/>
  <c r="H183" i="38" s="1"/>
  <c r="H81" i="38" s="1"/>
  <c r="H80" i="38" s="1"/>
  <c r="H76" i="38" s="1"/>
  <c r="H84" i="38" s="1"/>
  <c r="J461" i="39"/>
  <c r="Q414" i="37"/>
  <c r="G415" i="39"/>
  <c r="G25" i="39"/>
  <c r="F25" i="39" s="1"/>
  <c r="F223" i="38"/>
  <c r="G222" i="38"/>
  <c r="L446" i="39"/>
  <c r="L442" i="39"/>
  <c r="G178" i="38"/>
  <c r="G160" i="38"/>
  <c r="F160" i="38" s="1"/>
  <c r="F170" i="38" s="1"/>
  <c r="G170" i="38" s="1"/>
  <c r="G158" i="38"/>
  <c r="F158" i="38" s="1"/>
  <c r="F168" i="38" s="1"/>
  <c r="G168" i="38" s="1"/>
  <c r="L431" i="39"/>
  <c r="K446" i="39"/>
  <c r="L76" i="39"/>
  <c r="P228" i="37"/>
  <c r="P229" i="37"/>
  <c r="Q396" i="37"/>
  <c r="M312" i="37"/>
  <c r="M77" i="39"/>
  <c r="M79" i="39" s="1"/>
  <c r="M80" i="39"/>
  <c r="I328" i="39"/>
  <c r="I462" i="39"/>
  <c r="I465" i="39" s="1"/>
  <c r="I69" i="39"/>
  <c r="I72" i="39" s="1"/>
  <c r="K431" i="39"/>
  <c r="K63" i="39" s="1"/>
  <c r="K64" i="39" s="1"/>
  <c r="K324" i="39"/>
  <c r="K323" i="39" s="1"/>
  <c r="K58" i="39"/>
  <c r="I177" i="38"/>
  <c r="L324" i="39"/>
  <c r="L323" i="39" s="1"/>
  <c r="F96" i="39"/>
  <c r="G95" i="39"/>
  <c r="F95" i="39" s="1"/>
  <c r="F77" i="38"/>
  <c r="K68" i="39"/>
  <c r="K75" i="39"/>
  <c r="K65" i="39"/>
  <c r="J323" i="38"/>
  <c r="J326" i="38" s="1"/>
  <c r="J305" i="38"/>
  <c r="J315" i="38" s="1"/>
  <c r="J303" i="38"/>
  <c r="J313" i="38" s="1"/>
  <c r="J49" i="38"/>
  <c r="J52" i="38" s="1"/>
  <c r="N248" i="39"/>
  <c r="F61" i="38"/>
  <c r="G4" i="38"/>
  <c r="F4" i="38" s="1"/>
  <c r="M52" i="39"/>
  <c r="I52" i="39"/>
  <c r="L52" i="39"/>
  <c r="H52" i="39"/>
  <c r="K52" i="39"/>
  <c r="G52" i="39"/>
  <c r="N52" i="39"/>
  <c r="J52" i="39"/>
  <c r="J177" i="38"/>
  <c r="I248" i="39"/>
  <c r="H75" i="39"/>
  <c r="H65" i="39"/>
  <c r="H68" i="39"/>
  <c r="K185" i="38"/>
  <c r="K184" i="38" s="1"/>
  <c r="K182" i="38" s="1"/>
  <c r="K183" i="38" s="1"/>
  <c r="K81" i="38" s="1"/>
  <c r="K80" i="38" s="1"/>
  <c r="K76" i="38" s="1"/>
  <c r="K84" i="38" s="1"/>
  <c r="F317" i="39"/>
  <c r="G318" i="39"/>
  <c r="G78" i="39"/>
  <c r="G56" i="39"/>
  <c r="F56" i="39" s="1"/>
  <c r="M69" i="39"/>
  <c r="M72" i="39" s="1"/>
  <c r="N77" i="39"/>
  <c r="N79" i="39" s="1"/>
  <c r="N80" i="39"/>
  <c r="G68" i="39"/>
  <c r="F55" i="39"/>
  <c r="G75" i="39"/>
  <c r="G65" i="39"/>
  <c r="L438" i="39"/>
  <c r="K304" i="38"/>
  <c r="K314" i="38" s="1"/>
  <c r="K227" i="38" s="1"/>
  <c r="K322" i="38"/>
  <c r="L304" i="38"/>
  <c r="L314" i="38" s="1"/>
  <c r="L227" i="38" s="1"/>
  <c r="L322" i="38"/>
  <c r="F321" i="39"/>
  <c r="G20" i="39"/>
  <c r="F20" i="39" s="1"/>
  <c r="G438" i="39"/>
  <c r="F391" i="39"/>
  <c r="K438" i="39"/>
  <c r="G351" i="38"/>
  <c r="G350" i="38"/>
  <c r="G349" i="38"/>
  <c r="G352" i="38"/>
  <c r="E303" i="38" s="1"/>
  <c r="E313" i="38" s="1"/>
  <c r="M239" i="39"/>
  <c r="M231" i="39"/>
  <c r="M241" i="39" s="1"/>
  <c r="M230" i="39"/>
  <c r="M240" i="39" s="1"/>
  <c r="M115" i="39" s="1"/>
  <c r="L58" i="39"/>
  <c r="F308" i="39"/>
  <c r="N115" i="39"/>
  <c r="G431" i="39"/>
  <c r="G432" i="39" s="1"/>
  <c r="G324" i="39"/>
  <c r="K27" i="8"/>
  <c r="J27" i="8"/>
  <c r="F75" i="39" l="1"/>
  <c r="H438" i="39"/>
  <c r="L47" i="38"/>
  <c r="K237" i="40"/>
  <c r="K248" i="40" s="1"/>
  <c r="I47" i="38"/>
  <c r="K228" i="40"/>
  <c r="K238" i="40" s="1"/>
  <c r="M461" i="39"/>
  <c r="M463" i="39" s="1"/>
  <c r="H431" i="39"/>
  <c r="H63" i="39" s="1"/>
  <c r="H64" i="39" s="1"/>
  <c r="H324" i="39"/>
  <c r="H323" i="39" s="1"/>
  <c r="G43" i="38"/>
  <c r="H76" i="39"/>
  <c r="K76" i="39"/>
  <c r="G202" i="39"/>
  <c r="O62" i="37"/>
  <c r="J464" i="40"/>
  <c r="J467" i="40" s="1"/>
  <c r="O222" i="37"/>
  <c r="O227" i="37" s="1"/>
  <c r="O228" i="37" s="1"/>
  <c r="N108" i="40"/>
  <c r="N102" i="40" s="1"/>
  <c r="N113" i="40" s="1"/>
  <c r="M324" i="40"/>
  <c r="M318" i="40" s="1"/>
  <c r="M329" i="40" s="1"/>
  <c r="H91" i="40"/>
  <c r="F96" i="40"/>
  <c r="L110" i="40"/>
  <c r="L228" i="41"/>
  <c r="L238" i="41" s="1"/>
  <c r="I282" i="41"/>
  <c r="I197" i="41" s="1"/>
  <c r="G282" i="41"/>
  <c r="G197" i="41" s="1"/>
  <c r="G198" i="41" s="1"/>
  <c r="L321" i="41"/>
  <c r="L320" i="41" s="1"/>
  <c r="L319" i="41" s="1"/>
  <c r="L229" i="41"/>
  <c r="L239" i="41" s="1"/>
  <c r="N324" i="41"/>
  <c r="N318" i="41" s="1"/>
  <c r="N329" i="41" s="1"/>
  <c r="L431" i="41"/>
  <c r="M290" i="41"/>
  <c r="I290" i="41"/>
  <c r="I199" i="41" s="1"/>
  <c r="H290" i="41"/>
  <c r="H199" i="41" s="1"/>
  <c r="N290" i="41"/>
  <c r="M324" i="41"/>
  <c r="M318" i="41" s="1"/>
  <c r="M329" i="41" s="1"/>
  <c r="M110" i="41"/>
  <c r="N282" i="41"/>
  <c r="K290" i="41"/>
  <c r="K199" i="41" s="1"/>
  <c r="I201" i="41"/>
  <c r="I198" i="41"/>
  <c r="H282" i="41"/>
  <c r="H197" i="41" s="1"/>
  <c r="J290" i="41"/>
  <c r="J199" i="41" s="1"/>
  <c r="L282" i="41"/>
  <c r="M282" i="41"/>
  <c r="K282" i="41"/>
  <c r="K197" i="41" s="1"/>
  <c r="L290" i="41"/>
  <c r="J282" i="41"/>
  <c r="J197" i="41" s="1"/>
  <c r="G290" i="41"/>
  <c r="G199" i="41" s="1"/>
  <c r="M465" i="41"/>
  <c r="L109" i="41"/>
  <c r="N229" i="41"/>
  <c r="N239" i="41" s="1"/>
  <c r="N228" i="41"/>
  <c r="N238" i="41" s="1"/>
  <c r="N237" i="41"/>
  <c r="N465" i="41"/>
  <c r="L307" i="41"/>
  <c r="L61" i="41"/>
  <c r="M248" i="41"/>
  <c r="M109" i="41"/>
  <c r="N103" i="41"/>
  <c r="N250" i="40"/>
  <c r="M465" i="40"/>
  <c r="M69" i="40"/>
  <c r="M70" i="40" s="1"/>
  <c r="K463" i="40"/>
  <c r="K325" i="40"/>
  <c r="L464" i="40"/>
  <c r="L467" i="40" s="1"/>
  <c r="L437" i="40"/>
  <c r="L442" i="40" s="1"/>
  <c r="N463" i="40"/>
  <c r="N325" i="40"/>
  <c r="K110" i="40"/>
  <c r="J443" i="40"/>
  <c r="J453" i="40" s="1"/>
  <c r="J452" i="40"/>
  <c r="J444" i="40"/>
  <c r="J454" i="40" s="1"/>
  <c r="K326" i="40"/>
  <c r="N326" i="40"/>
  <c r="L248" i="40"/>
  <c r="L109" i="40"/>
  <c r="L108" i="40" s="1"/>
  <c r="L102" i="40" s="1"/>
  <c r="L113" i="40" s="1"/>
  <c r="G437" i="39"/>
  <c r="K324" i="38"/>
  <c r="K50" i="38"/>
  <c r="K51" i="38" s="1"/>
  <c r="O229" i="37"/>
  <c r="F438" i="39"/>
  <c r="F293" i="38"/>
  <c r="F298" i="38" s="1"/>
  <c r="G298" i="38"/>
  <c r="F78" i="39"/>
  <c r="G81" i="39"/>
  <c r="F52" i="39"/>
  <c r="F53" i="39" s="1"/>
  <c r="M469" i="39"/>
  <c r="M468" i="39" s="1"/>
  <c r="M466" i="39" s="1"/>
  <c r="M467" i="39" s="1"/>
  <c r="M327" i="39" s="1"/>
  <c r="M326" i="39" s="1"/>
  <c r="M322" i="39" s="1"/>
  <c r="M330" i="39" s="1"/>
  <c r="J304" i="38"/>
  <c r="J314" i="38" s="1"/>
  <c r="J227" i="38" s="1"/>
  <c r="I179" i="38"/>
  <c r="M82" i="39"/>
  <c r="M5" i="39" s="1"/>
  <c r="M6" i="39"/>
  <c r="L63" i="39"/>
  <c r="L64" i="39" s="1"/>
  <c r="L432" i="39"/>
  <c r="L437" i="39" s="1"/>
  <c r="L443" i="39"/>
  <c r="L453" i="39" s="1"/>
  <c r="L452" i="39"/>
  <c r="L444" i="39"/>
  <c r="L454" i="39" s="1"/>
  <c r="Q431" i="37"/>
  <c r="Q432" i="37" s="1"/>
  <c r="Q321" i="37"/>
  <c r="Q320" i="37" s="1"/>
  <c r="Q319" i="37" s="1"/>
  <c r="Q47" i="37"/>
  <c r="Q61" i="37" s="1"/>
  <c r="Q62" i="37" s="1"/>
  <c r="H248" i="39"/>
  <c r="J250" i="39"/>
  <c r="I82" i="39"/>
  <c r="I5" i="39" s="1"/>
  <c r="I6" i="39"/>
  <c r="K328" i="39"/>
  <c r="N502" i="39"/>
  <c r="J502" i="39"/>
  <c r="N501" i="39"/>
  <c r="J501" i="39"/>
  <c r="N500" i="39"/>
  <c r="J500" i="39"/>
  <c r="N499" i="39"/>
  <c r="J499" i="39"/>
  <c r="N498" i="39"/>
  <c r="N503" i="39" s="1"/>
  <c r="J498" i="39"/>
  <c r="J503" i="39" s="1"/>
  <c r="N494" i="39"/>
  <c r="J494" i="39"/>
  <c r="N493" i="39"/>
  <c r="J493" i="39"/>
  <c r="N492" i="39"/>
  <c r="J492" i="39"/>
  <c r="N491" i="39"/>
  <c r="J491" i="39"/>
  <c r="N490" i="39"/>
  <c r="N495" i="39" s="1"/>
  <c r="J490" i="39"/>
  <c r="J495" i="39" s="1"/>
  <c r="M502" i="39"/>
  <c r="I502" i="39"/>
  <c r="M501" i="39"/>
  <c r="I501" i="39"/>
  <c r="M500" i="39"/>
  <c r="I500" i="39"/>
  <c r="M499" i="39"/>
  <c r="I499" i="39"/>
  <c r="M498" i="39"/>
  <c r="M503" i="39" s="1"/>
  <c r="I498" i="39"/>
  <c r="I503" i="39" s="1"/>
  <c r="M494" i="39"/>
  <c r="I494" i="39"/>
  <c r="M493" i="39"/>
  <c r="I493" i="39"/>
  <c r="M492" i="39"/>
  <c r="I492" i="39"/>
  <c r="M491" i="39"/>
  <c r="I491" i="39"/>
  <c r="M490" i="39"/>
  <c r="M495" i="39" s="1"/>
  <c r="I490" i="39"/>
  <c r="I495" i="39" s="1"/>
  <c r="L502" i="39"/>
  <c r="H502" i="39"/>
  <c r="L501" i="39"/>
  <c r="H501" i="39"/>
  <c r="L500" i="39"/>
  <c r="H500" i="39"/>
  <c r="L499" i="39"/>
  <c r="H499" i="39"/>
  <c r="L498" i="39"/>
  <c r="L503" i="39" s="1"/>
  <c r="H498" i="39"/>
  <c r="H503" i="39" s="1"/>
  <c r="L494" i="39"/>
  <c r="H494" i="39"/>
  <c r="L493" i="39"/>
  <c r="H493" i="39"/>
  <c r="L492" i="39"/>
  <c r="H492" i="39"/>
  <c r="L491" i="39"/>
  <c r="H491" i="39"/>
  <c r="L490" i="39"/>
  <c r="L495" i="39" s="1"/>
  <c r="H490" i="39"/>
  <c r="H495" i="39" s="1"/>
  <c r="G502" i="39"/>
  <c r="G500" i="39"/>
  <c r="G498" i="39"/>
  <c r="G503" i="39" s="1"/>
  <c r="G493" i="39"/>
  <c r="G491" i="39"/>
  <c r="G495" i="39" s="1"/>
  <c r="K501" i="39"/>
  <c r="K499" i="39"/>
  <c r="K494" i="39"/>
  <c r="K492" i="39"/>
  <c r="K490" i="39"/>
  <c r="K495" i="39" s="1"/>
  <c r="G501" i="39"/>
  <c r="G499" i="39"/>
  <c r="G494" i="39"/>
  <c r="G492" i="39"/>
  <c r="G490" i="39"/>
  <c r="K502" i="39"/>
  <c r="K493" i="39"/>
  <c r="K500" i="39"/>
  <c r="K491" i="39"/>
  <c r="K498" i="39"/>
  <c r="M248" i="39"/>
  <c r="F65" i="39"/>
  <c r="G76" i="39"/>
  <c r="F68" i="39"/>
  <c r="F43" i="38"/>
  <c r="G48" i="38"/>
  <c r="F318" i="39"/>
  <c r="H77" i="39"/>
  <c r="H79" i="39" s="1"/>
  <c r="H80" i="39"/>
  <c r="G159" i="38"/>
  <c r="F159" i="38" s="1"/>
  <c r="F169" i="38" s="1"/>
  <c r="G169" i="38" s="1"/>
  <c r="G82" i="38" s="1"/>
  <c r="F82" i="38" s="1"/>
  <c r="F415" i="39"/>
  <c r="F431" i="39" s="1"/>
  <c r="G442" i="39"/>
  <c r="G446" i="39"/>
  <c r="I304" i="38"/>
  <c r="I314" i="38" s="1"/>
  <c r="I227" i="38" s="1"/>
  <c r="N452" i="39"/>
  <c r="N444" i="39"/>
  <c r="N454" i="39" s="1"/>
  <c r="N443" i="39"/>
  <c r="N453" i="39" s="1"/>
  <c r="N328" i="39" s="1"/>
  <c r="H446" i="39"/>
  <c r="H442" i="39"/>
  <c r="L248" i="39"/>
  <c r="K432" i="39"/>
  <c r="K437" i="39" s="1"/>
  <c r="N6" i="39"/>
  <c r="N82" i="39"/>
  <c r="N5" i="39" s="1"/>
  <c r="I250" i="39"/>
  <c r="N250" i="39"/>
  <c r="K80" i="39"/>
  <c r="K77" i="39"/>
  <c r="K79" i="39" s="1"/>
  <c r="L77" i="39"/>
  <c r="L79" i="39" s="1"/>
  <c r="L80" i="39"/>
  <c r="F222" i="38"/>
  <c r="J77" i="39"/>
  <c r="J79" i="39" s="1"/>
  <c r="J80" i="39"/>
  <c r="F104" i="39"/>
  <c r="G105" i="39"/>
  <c r="F105" i="39" s="1"/>
  <c r="K256" i="39"/>
  <c r="K255" i="39" s="1"/>
  <c r="K253" i="39" s="1"/>
  <c r="K254" i="39" s="1"/>
  <c r="K114" i="39" s="1"/>
  <c r="K113" i="39" s="1"/>
  <c r="K109" i="39" s="1"/>
  <c r="K117" i="39" s="1"/>
  <c r="G323" i="39"/>
  <c r="F324" i="39"/>
  <c r="L324" i="38"/>
  <c r="L50" i="38"/>
  <c r="L51" i="38" s="1"/>
  <c r="J179" i="38"/>
  <c r="M307" i="37"/>
  <c r="F178" i="38"/>
  <c r="G181" i="38"/>
  <c r="F181" i="38" s="1"/>
  <c r="J70" i="39"/>
  <c r="J71" i="39" s="1"/>
  <c r="N63" i="39"/>
  <c r="N64" i="39" s="1"/>
  <c r="N432" i="39"/>
  <c r="N437" i="39" s="1"/>
  <c r="G180" i="37"/>
  <c r="F180" i="37" s="1"/>
  <c r="F91" i="37"/>
  <c r="J462" i="39"/>
  <c r="J465" i="39" s="1"/>
  <c r="J69" i="39"/>
  <c r="J72" i="39" s="1"/>
  <c r="G225" i="39"/>
  <c r="F225" i="39" s="1"/>
  <c r="F178" i="39"/>
  <c r="I463" i="39"/>
  <c r="I70" i="39"/>
  <c r="I71" i="39" s="1"/>
  <c r="H330" i="38"/>
  <c r="H329" i="38" s="1"/>
  <c r="H327" i="38" s="1"/>
  <c r="H328" i="38" s="1"/>
  <c r="H226" i="38" s="1"/>
  <c r="H225" i="38" s="1"/>
  <c r="H221" i="38" s="1"/>
  <c r="H229" i="38" s="1"/>
  <c r="K461" i="39"/>
  <c r="I27" i="8"/>
  <c r="L328" i="39" l="1"/>
  <c r="F202" i="39"/>
  <c r="F218" i="39" s="1"/>
  <c r="G229" i="39"/>
  <c r="G233" i="39"/>
  <c r="F233" i="39" s="1"/>
  <c r="G58" i="39"/>
  <c r="F58" i="39" s="1"/>
  <c r="K503" i="39"/>
  <c r="H432" i="39"/>
  <c r="H437" i="39" s="1"/>
  <c r="G111" i="39"/>
  <c r="G110" i="39" s="1"/>
  <c r="I322" i="38"/>
  <c r="G218" i="39"/>
  <c r="K109" i="40"/>
  <c r="K108" i="40" s="1"/>
  <c r="K102" i="40" s="1"/>
  <c r="K113" i="40" s="1"/>
  <c r="L110" i="41"/>
  <c r="L108" i="41" s="1"/>
  <c r="L102" i="41" s="1"/>
  <c r="L113" i="41" s="1"/>
  <c r="G177" i="38"/>
  <c r="L248" i="41"/>
  <c r="K289" i="37"/>
  <c r="J288" i="37"/>
  <c r="L286" i="37"/>
  <c r="K285" i="37"/>
  <c r="L281" i="37"/>
  <c r="K280" i="37"/>
  <c r="J279" i="37"/>
  <c r="L277" i="37"/>
  <c r="J289" i="37"/>
  <c r="L287" i="37"/>
  <c r="K286" i="37"/>
  <c r="J285" i="37"/>
  <c r="K281" i="37"/>
  <c r="J280" i="37"/>
  <c r="L278" i="37"/>
  <c r="K277" i="37"/>
  <c r="L288" i="37"/>
  <c r="K287" i="37"/>
  <c r="J286" i="37"/>
  <c r="J281" i="37"/>
  <c r="L279" i="37"/>
  <c r="K278" i="37"/>
  <c r="J277" i="37"/>
  <c r="L285" i="37"/>
  <c r="L289" i="37"/>
  <c r="L280" i="37"/>
  <c r="K288" i="37"/>
  <c r="K279" i="37"/>
  <c r="J287" i="37"/>
  <c r="J278" i="37"/>
  <c r="H180" i="40"/>
  <c r="F180" i="40" s="1"/>
  <c r="F91" i="40"/>
  <c r="G201" i="41"/>
  <c r="J202" i="41"/>
  <c r="J200" i="41"/>
  <c r="H200" i="41"/>
  <c r="H202" i="41"/>
  <c r="I202" i="41"/>
  <c r="I200" i="41"/>
  <c r="I215" i="41" s="1"/>
  <c r="I216" i="41" s="1"/>
  <c r="K200" i="41"/>
  <c r="K202" i="41"/>
  <c r="M108" i="41"/>
  <c r="M102" i="41" s="1"/>
  <c r="M113" i="41" s="1"/>
  <c r="G200" i="41"/>
  <c r="G202" i="41"/>
  <c r="K201" i="41"/>
  <c r="K198" i="41"/>
  <c r="H201" i="41"/>
  <c r="H198" i="41"/>
  <c r="N110" i="41"/>
  <c r="J201" i="41"/>
  <c r="J198" i="41"/>
  <c r="L432" i="41"/>
  <c r="L396" i="41"/>
  <c r="N248" i="41"/>
  <c r="N109" i="41"/>
  <c r="N108" i="41" s="1"/>
  <c r="N102" i="41" s="1"/>
  <c r="N113" i="41" s="1"/>
  <c r="M471" i="41"/>
  <c r="M466" i="41"/>
  <c r="M250" i="41"/>
  <c r="L62" i="41"/>
  <c r="N466" i="41"/>
  <c r="N471" i="41"/>
  <c r="L250" i="41"/>
  <c r="M69" i="41"/>
  <c r="M70" i="41" s="1"/>
  <c r="N324" i="40"/>
  <c r="N318" i="40" s="1"/>
  <c r="N329" i="40" s="1"/>
  <c r="K465" i="40"/>
  <c r="K69" i="40"/>
  <c r="K70" i="40" s="1"/>
  <c r="M466" i="40"/>
  <c r="M471" i="40"/>
  <c r="J463" i="40"/>
  <c r="J325" i="40"/>
  <c r="N465" i="40"/>
  <c r="N69" i="40"/>
  <c r="N70" i="40" s="1"/>
  <c r="L452" i="40"/>
  <c r="L444" i="40"/>
  <c r="L454" i="40" s="1"/>
  <c r="L443" i="40"/>
  <c r="L453" i="40" s="1"/>
  <c r="K250" i="40"/>
  <c r="L250" i="40"/>
  <c r="J326" i="40"/>
  <c r="N251" i="40"/>
  <c r="N256" i="40"/>
  <c r="K324" i="40"/>
  <c r="K318" i="40" s="1"/>
  <c r="K329" i="40" s="1"/>
  <c r="J463" i="39"/>
  <c r="F323" i="39"/>
  <c r="L82" i="39"/>
  <c r="L5" i="39" s="1"/>
  <c r="L6" i="39"/>
  <c r="L250" i="39"/>
  <c r="N462" i="39"/>
  <c r="N465" i="39" s="1"/>
  <c r="N69" i="39"/>
  <c r="N72" i="39" s="1"/>
  <c r="K82" i="39"/>
  <c r="K5" i="39" s="1"/>
  <c r="K6" i="39"/>
  <c r="I469" i="39"/>
  <c r="I468" i="39" s="1"/>
  <c r="I466" i="39" s="1"/>
  <c r="I467" i="39" s="1"/>
  <c r="I327" i="39" s="1"/>
  <c r="I326" i="39" s="1"/>
  <c r="I322" i="39" s="1"/>
  <c r="I330" i="39" s="1"/>
  <c r="L330" i="38"/>
  <c r="L329" i="38" s="1"/>
  <c r="L327" i="38" s="1"/>
  <c r="L328" i="38" s="1"/>
  <c r="L226" i="38" s="1"/>
  <c r="L225" i="38" s="1"/>
  <c r="L221" i="38" s="1"/>
  <c r="L229" i="38" s="1"/>
  <c r="J82" i="39"/>
  <c r="J5" i="39" s="1"/>
  <c r="J6" i="39"/>
  <c r="H462" i="39"/>
  <c r="H465" i="39" s="1"/>
  <c r="H69" i="39"/>
  <c r="H72" i="39" s="1"/>
  <c r="N256" i="39"/>
  <c r="N255" i="39" s="1"/>
  <c r="N253" i="39" s="1"/>
  <c r="N254" i="39" s="1"/>
  <c r="N114" i="39" s="1"/>
  <c r="N113" i="39" s="1"/>
  <c r="N109" i="39" s="1"/>
  <c r="N117" i="39" s="1"/>
  <c r="H443" i="39"/>
  <c r="H453" i="39" s="1"/>
  <c r="H452" i="39"/>
  <c r="H444" i="39"/>
  <c r="H454" i="39" s="1"/>
  <c r="N461" i="39"/>
  <c r="G18" i="39"/>
  <c r="F18" i="39" s="1"/>
  <c r="M250" i="39"/>
  <c r="M70" i="39"/>
  <c r="M71" i="39" s="1"/>
  <c r="L461" i="39"/>
  <c r="I185" i="38"/>
  <c r="I184" i="38"/>
  <c r="I182" i="38" s="1"/>
  <c r="I183" i="38" s="1"/>
  <c r="I81" i="38" s="1"/>
  <c r="I80" i="38" s="1"/>
  <c r="I76" i="38" s="1"/>
  <c r="I84" i="38" s="1"/>
  <c r="K70" i="39"/>
  <c r="K71" i="39" s="1"/>
  <c r="M289" i="39"/>
  <c r="I289" i="39"/>
  <c r="M288" i="39"/>
  <c r="I288" i="39"/>
  <c r="M287" i="39"/>
  <c r="I287" i="39"/>
  <c r="M286" i="39"/>
  <c r="I286" i="39"/>
  <c r="M285" i="39"/>
  <c r="I285" i="39"/>
  <c r="I290" i="39" s="1"/>
  <c r="M281" i="39"/>
  <c r="I281" i="39"/>
  <c r="M280" i="39"/>
  <c r="I280" i="39"/>
  <c r="M279" i="39"/>
  <c r="I279" i="39"/>
  <c r="M278" i="39"/>
  <c r="I278" i="39"/>
  <c r="M277" i="39"/>
  <c r="M282" i="39" s="1"/>
  <c r="I277" i="39"/>
  <c r="I282" i="39" s="1"/>
  <c r="L289" i="39"/>
  <c r="H289" i="39"/>
  <c r="L288" i="39"/>
  <c r="H288" i="39"/>
  <c r="L287" i="39"/>
  <c r="H287" i="39"/>
  <c r="L286" i="39"/>
  <c r="H286" i="39"/>
  <c r="L285" i="39"/>
  <c r="H285" i="39"/>
  <c r="H290" i="39" s="1"/>
  <c r="L281" i="39"/>
  <c r="H281" i="39"/>
  <c r="L280" i="39"/>
  <c r="H280" i="39"/>
  <c r="L279" i="39"/>
  <c r="H279" i="39"/>
  <c r="L278" i="39"/>
  <c r="H278" i="39"/>
  <c r="L277" i="39"/>
  <c r="L282" i="39" s="1"/>
  <c r="H277" i="39"/>
  <c r="H282" i="39" s="1"/>
  <c r="K289" i="39"/>
  <c r="G289" i="39"/>
  <c r="K288" i="39"/>
  <c r="G288" i="39"/>
  <c r="K287" i="39"/>
  <c r="G287" i="39"/>
  <c r="K286" i="39"/>
  <c r="G286" i="39"/>
  <c r="K285" i="39"/>
  <c r="K290" i="39" s="1"/>
  <c r="G285" i="39"/>
  <c r="G290" i="39" s="1"/>
  <c r="K281" i="39"/>
  <c r="G281" i="39"/>
  <c r="K280" i="39"/>
  <c r="G280" i="39"/>
  <c r="K279" i="39"/>
  <c r="G279" i="39"/>
  <c r="K278" i="39"/>
  <c r="G278" i="39"/>
  <c r="K277" i="39"/>
  <c r="K282" i="39" s="1"/>
  <c r="G277" i="39"/>
  <c r="G282" i="39" s="1"/>
  <c r="N288" i="39"/>
  <c r="N286" i="39"/>
  <c r="N282" i="39"/>
  <c r="N280" i="39"/>
  <c r="N278" i="39"/>
  <c r="J288" i="39"/>
  <c r="J286" i="39"/>
  <c r="J280" i="39"/>
  <c r="J278" i="39"/>
  <c r="N289" i="39"/>
  <c r="N287" i="39"/>
  <c r="N285" i="39"/>
  <c r="N290" i="39" s="1"/>
  <c r="N281" i="39"/>
  <c r="N279" i="39"/>
  <c r="N277" i="39"/>
  <c r="J287" i="39"/>
  <c r="J277" i="39"/>
  <c r="J285" i="39"/>
  <c r="J281" i="39"/>
  <c r="J289" i="39"/>
  <c r="J279" i="39"/>
  <c r="O289" i="37"/>
  <c r="H289" i="37"/>
  <c r="O288" i="37"/>
  <c r="H288" i="37"/>
  <c r="O287" i="37"/>
  <c r="H287" i="37"/>
  <c r="O286" i="37"/>
  <c r="H286" i="37"/>
  <c r="O285" i="37"/>
  <c r="H285" i="37"/>
  <c r="O281" i="37"/>
  <c r="H281" i="37"/>
  <c r="O280" i="37"/>
  <c r="H280" i="37"/>
  <c r="O279" i="37"/>
  <c r="H279" i="37"/>
  <c r="O278" i="37"/>
  <c r="H278" i="37"/>
  <c r="O277" i="37"/>
  <c r="H277" i="37"/>
  <c r="N289" i="37"/>
  <c r="G289" i="37"/>
  <c r="N288" i="37"/>
  <c r="G288" i="37"/>
  <c r="N287" i="37"/>
  <c r="G287" i="37"/>
  <c r="N286" i="37"/>
  <c r="G286" i="37"/>
  <c r="N285" i="37"/>
  <c r="G285" i="37"/>
  <c r="N281" i="37"/>
  <c r="G281" i="37"/>
  <c r="N280" i="37"/>
  <c r="G280" i="37"/>
  <c r="N279" i="37"/>
  <c r="G279" i="37"/>
  <c r="N278" i="37"/>
  <c r="G278" i="37"/>
  <c r="N277" i="37"/>
  <c r="G277" i="37"/>
  <c r="Q289" i="37"/>
  <c r="M289" i="37"/>
  <c r="Q288" i="37"/>
  <c r="M288" i="37"/>
  <c r="Q287" i="37"/>
  <c r="M287" i="37"/>
  <c r="Q286" i="37"/>
  <c r="M286" i="37"/>
  <c r="Q285" i="37"/>
  <c r="M285" i="37"/>
  <c r="Q281" i="37"/>
  <c r="M281" i="37"/>
  <c r="Q280" i="37"/>
  <c r="M280" i="37"/>
  <c r="Q279" i="37"/>
  <c r="M279" i="37"/>
  <c r="Q278" i="37"/>
  <c r="M278" i="37"/>
  <c r="Q277" i="37"/>
  <c r="M277" i="37"/>
  <c r="P289" i="37"/>
  <c r="P287" i="37"/>
  <c r="P285" i="37"/>
  <c r="P281" i="37"/>
  <c r="P279" i="37"/>
  <c r="P277" i="37"/>
  <c r="I288" i="37"/>
  <c r="I278" i="37"/>
  <c r="I289" i="37"/>
  <c r="I287" i="37"/>
  <c r="I285" i="37"/>
  <c r="I281" i="37"/>
  <c r="I279" i="37"/>
  <c r="I277" i="37"/>
  <c r="I286" i="37"/>
  <c r="I280" i="37"/>
  <c r="P288" i="37"/>
  <c r="P286" i="37"/>
  <c r="P280" i="37"/>
  <c r="P278" i="37"/>
  <c r="I256" i="39"/>
  <c r="I255" i="39" s="1"/>
  <c r="I253" i="39" s="1"/>
  <c r="I254" i="39" s="1"/>
  <c r="I114" i="39" s="1"/>
  <c r="I113" i="39" s="1"/>
  <c r="I109" i="39" s="1"/>
  <c r="I117" i="39" s="1"/>
  <c r="K462" i="39"/>
  <c r="K465" i="39" s="1"/>
  <c r="K69" i="39"/>
  <c r="K72" i="39" s="1"/>
  <c r="F446" i="39"/>
  <c r="G80" i="39"/>
  <c r="F76" i="39"/>
  <c r="G77" i="39"/>
  <c r="J256" i="39"/>
  <c r="J255" i="39"/>
  <c r="J253" i="39" s="1"/>
  <c r="J254" i="39" s="1"/>
  <c r="J114" i="39" s="1"/>
  <c r="J113" i="39" s="1"/>
  <c r="J109" i="39" s="1"/>
  <c r="J117" i="39" s="1"/>
  <c r="G323" i="38"/>
  <c r="G305" i="38"/>
  <c r="F305" i="38" s="1"/>
  <c r="F315" i="38" s="1"/>
  <c r="G315" i="38" s="1"/>
  <c r="G303" i="38"/>
  <c r="F303" i="38" s="1"/>
  <c r="F313" i="38" s="1"/>
  <c r="G313" i="38" s="1"/>
  <c r="G49" i="38"/>
  <c r="F432" i="39"/>
  <c r="F437" i="39" s="1"/>
  <c r="M396" i="37"/>
  <c r="I50" i="38"/>
  <c r="I51" i="38" s="1"/>
  <c r="I324" i="38"/>
  <c r="F442" i="39"/>
  <c r="G443" i="39"/>
  <c r="G444" i="39"/>
  <c r="F177" i="38"/>
  <c r="G179" i="38"/>
  <c r="H82" i="39"/>
  <c r="H5" i="39" s="1"/>
  <c r="H6" i="39"/>
  <c r="F48" i="38"/>
  <c r="H250" i="39"/>
  <c r="Q464" i="37"/>
  <c r="Q467" i="37" s="1"/>
  <c r="Q437" i="37"/>
  <c r="Q442" i="37" s="1"/>
  <c r="L462" i="39"/>
  <c r="L465" i="39" s="1"/>
  <c r="L69" i="39"/>
  <c r="L72" i="39" s="1"/>
  <c r="L53" i="39"/>
  <c r="H53" i="39"/>
  <c r="K53" i="39"/>
  <c r="G53" i="39"/>
  <c r="N53" i="39"/>
  <c r="J53" i="39"/>
  <c r="M53" i="39"/>
  <c r="I53" i="39"/>
  <c r="K330" i="38"/>
  <c r="K329" i="38" s="1"/>
  <c r="K327" i="38" s="1"/>
  <c r="K328" i="38" s="1"/>
  <c r="K226" i="38" s="1"/>
  <c r="K225" i="38" s="1"/>
  <c r="K221" i="38" s="1"/>
  <c r="K229" i="38" s="1"/>
  <c r="G462" i="39"/>
  <c r="G295" i="39"/>
  <c r="G294" i="39"/>
  <c r="G293" i="39"/>
  <c r="G296" i="39"/>
  <c r="E229" i="39" s="1"/>
  <c r="E239" i="39" s="1"/>
  <c r="J185" i="38"/>
  <c r="J184" i="38" s="1"/>
  <c r="J182" i="38" s="1"/>
  <c r="J183" i="38" s="1"/>
  <c r="J81" i="38" s="1"/>
  <c r="J80" i="38" s="1"/>
  <c r="J76" i="38" s="1"/>
  <c r="J84" i="38" s="1"/>
  <c r="J322" i="38"/>
  <c r="F81" i="39"/>
  <c r="G4" i="39"/>
  <c r="F4" i="39" s="1"/>
  <c r="G508" i="39"/>
  <c r="G507" i="39"/>
  <c r="G509" i="39" s="1"/>
  <c r="E442" i="39" s="1"/>
  <c r="E452" i="39" s="1"/>
  <c r="G506" i="39"/>
  <c r="I46" i="9"/>
  <c r="I44" i="9"/>
  <c r="I43" i="9"/>
  <c r="I42" i="9"/>
  <c r="I41" i="9"/>
  <c r="I40" i="9"/>
  <c r="I39" i="9"/>
  <c r="I38" i="9"/>
  <c r="I37" i="9"/>
  <c r="I36" i="9"/>
  <c r="I35" i="9"/>
  <c r="I34" i="9"/>
  <c r="I33" i="9"/>
  <c r="I31" i="9"/>
  <c r="I32" i="9" s="1"/>
  <c r="I30" i="9"/>
  <c r="I29" i="9"/>
  <c r="M71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L290" i="39" l="1"/>
  <c r="M290" i="39"/>
  <c r="G63" i="39"/>
  <c r="G219" i="39"/>
  <c r="I45" i="9"/>
  <c r="J282" i="39"/>
  <c r="F443" i="39"/>
  <c r="F453" i="39" s="1"/>
  <c r="G453" i="39" s="1"/>
  <c r="J290" i="39"/>
  <c r="F111" i="39"/>
  <c r="F229" i="39"/>
  <c r="F231" i="39" s="1"/>
  <c r="F241" i="39" s="1"/>
  <c r="G241" i="39" s="1"/>
  <c r="G231" i="39"/>
  <c r="G230" i="39"/>
  <c r="F230" i="39" s="1"/>
  <c r="F240" i="39" s="1"/>
  <c r="G240" i="39" s="1"/>
  <c r="G115" i="39" s="1"/>
  <c r="F115" i="39" s="1"/>
  <c r="I70" i="9"/>
  <c r="L290" i="37"/>
  <c r="J290" i="37"/>
  <c r="L282" i="37"/>
  <c r="L197" i="37" s="1"/>
  <c r="L198" i="37" s="1"/>
  <c r="J282" i="37"/>
  <c r="J197" i="37" s="1"/>
  <c r="L201" i="37"/>
  <c r="P290" i="37"/>
  <c r="K290" i="37"/>
  <c r="I282" i="37"/>
  <c r="I197" i="37" s="1"/>
  <c r="M290" i="37"/>
  <c r="G290" i="37"/>
  <c r="H290" i="37"/>
  <c r="K282" i="37"/>
  <c r="K197" i="37" s="1"/>
  <c r="P282" i="37"/>
  <c r="I290" i="37"/>
  <c r="Q290" i="37"/>
  <c r="N290" i="37"/>
  <c r="O290" i="37"/>
  <c r="M282" i="37"/>
  <c r="M197" i="37" s="1"/>
  <c r="G282" i="37"/>
  <c r="G197" i="37" s="1"/>
  <c r="H282" i="37"/>
  <c r="H197" i="37" s="1"/>
  <c r="Q282" i="37"/>
  <c r="N282" i="37"/>
  <c r="N197" i="37" s="1"/>
  <c r="O282" i="37"/>
  <c r="L326" i="40"/>
  <c r="I288" i="40"/>
  <c r="I286" i="40"/>
  <c r="I281" i="40"/>
  <c r="I279" i="40"/>
  <c r="I277" i="40"/>
  <c r="H288" i="40"/>
  <c r="H286" i="40"/>
  <c r="K288" i="40"/>
  <c r="K286" i="40"/>
  <c r="K281" i="40"/>
  <c r="K279" i="40"/>
  <c r="K277" i="40"/>
  <c r="N281" i="40"/>
  <c r="N277" i="40"/>
  <c r="L281" i="40"/>
  <c r="L277" i="40"/>
  <c r="J281" i="40"/>
  <c r="J277" i="40"/>
  <c r="N288" i="40"/>
  <c r="H280" i="40"/>
  <c r="M286" i="40"/>
  <c r="M279" i="40"/>
  <c r="L288" i="40"/>
  <c r="L286" i="40"/>
  <c r="G280" i="40"/>
  <c r="G278" i="40"/>
  <c r="N278" i="40"/>
  <c r="J285" i="40"/>
  <c r="H278" i="40"/>
  <c r="M289" i="40"/>
  <c r="M287" i="40"/>
  <c r="M285" i="40"/>
  <c r="M280" i="40"/>
  <c r="M278" i="40"/>
  <c r="L289" i="40"/>
  <c r="L287" i="40"/>
  <c r="L285" i="40"/>
  <c r="G288" i="40"/>
  <c r="G286" i="40"/>
  <c r="G281" i="40"/>
  <c r="G279" i="40"/>
  <c r="G277" i="40"/>
  <c r="N280" i="40"/>
  <c r="N289" i="40"/>
  <c r="L280" i="40"/>
  <c r="J289" i="40"/>
  <c r="J280" i="40"/>
  <c r="H285" i="40"/>
  <c r="H281" i="40"/>
  <c r="M288" i="40"/>
  <c r="M281" i="40"/>
  <c r="M277" i="40"/>
  <c r="G289" i="40"/>
  <c r="G285" i="40"/>
  <c r="J286" i="40"/>
  <c r="L278" i="40"/>
  <c r="J278" i="40"/>
  <c r="I289" i="40"/>
  <c r="I287" i="40"/>
  <c r="I285" i="40"/>
  <c r="I280" i="40"/>
  <c r="I278" i="40"/>
  <c r="H289" i="40"/>
  <c r="H287" i="40"/>
  <c r="K289" i="40"/>
  <c r="K287" i="40"/>
  <c r="K285" i="40"/>
  <c r="K280" i="40"/>
  <c r="K278" i="40"/>
  <c r="J288" i="40"/>
  <c r="N279" i="40"/>
  <c r="N287" i="40"/>
  <c r="L279" i="40"/>
  <c r="J287" i="40"/>
  <c r="J279" i="40"/>
  <c r="H279" i="40"/>
  <c r="H277" i="40"/>
  <c r="G287" i="40"/>
  <c r="N285" i="40"/>
  <c r="N286" i="40"/>
  <c r="F198" i="41"/>
  <c r="I105" i="41"/>
  <c r="I104" i="41" s="1"/>
  <c r="I103" i="41" s="1"/>
  <c r="F202" i="41"/>
  <c r="F200" i="41"/>
  <c r="G215" i="41"/>
  <c r="G216" i="41" s="1"/>
  <c r="G105" i="41"/>
  <c r="G104" i="41" s="1"/>
  <c r="K215" i="41"/>
  <c r="K216" i="41" s="1"/>
  <c r="K222" i="41" s="1"/>
  <c r="K227" i="41" s="1"/>
  <c r="F201" i="41"/>
  <c r="J105" i="41"/>
  <c r="J104" i="41" s="1"/>
  <c r="J103" i="41" s="1"/>
  <c r="J215" i="41"/>
  <c r="J216" i="41" s="1"/>
  <c r="I249" i="41"/>
  <c r="I252" i="41" s="1"/>
  <c r="I222" i="41"/>
  <c r="I227" i="41" s="1"/>
  <c r="H105" i="41"/>
  <c r="H104" i="41" s="1"/>
  <c r="H103" i="41" s="1"/>
  <c r="H215" i="41"/>
  <c r="H216" i="41" s="1"/>
  <c r="K105" i="41"/>
  <c r="K104" i="41" s="1"/>
  <c r="K103" i="41" s="1"/>
  <c r="L251" i="41"/>
  <c r="L256" i="41"/>
  <c r="M256" i="41"/>
  <c r="M251" i="41"/>
  <c r="N250" i="41"/>
  <c r="N69" i="41"/>
  <c r="N70" i="41" s="1"/>
  <c r="L464" i="41"/>
  <c r="L437" i="41"/>
  <c r="L251" i="40"/>
  <c r="L256" i="40"/>
  <c r="L463" i="40"/>
  <c r="L325" i="40"/>
  <c r="N471" i="40"/>
  <c r="N466" i="40"/>
  <c r="J465" i="40"/>
  <c r="J69" i="40"/>
  <c r="J70" i="40" s="1"/>
  <c r="K466" i="40"/>
  <c r="K471" i="40"/>
  <c r="K256" i="40"/>
  <c r="K251" i="40"/>
  <c r="J324" i="40"/>
  <c r="J318" i="40" s="1"/>
  <c r="J329" i="40" s="1"/>
  <c r="G52" i="38"/>
  <c r="F52" i="38" s="1"/>
  <c r="F49" i="38"/>
  <c r="N463" i="39"/>
  <c r="N70" i="39"/>
  <c r="N71" i="39" s="1"/>
  <c r="J324" i="38"/>
  <c r="J50" i="38"/>
  <c r="J51" i="38" s="1"/>
  <c r="G304" i="38"/>
  <c r="F304" i="38" s="1"/>
  <c r="F314" i="38" s="1"/>
  <c r="G314" i="38" s="1"/>
  <c r="G227" i="38" s="1"/>
  <c r="F227" i="38" s="1"/>
  <c r="F77" i="39"/>
  <c r="G79" i="39"/>
  <c r="F79" i="39" s="1"/>
  <c r="F110" i="39"/>
  <c r="M256" i="39"/>
  <c r="M255" i="39" s="1"/>
  <c r="M253" i="39" s="1"/>
  <c r="M254" i="39" s="1"/>
  <c r="M114" i="39" s="1"/>
  <c r="M113" i="39" s="1"/>
  <c r="M109" i="39" s="1"/>
  <c r="M117" i="39" s="1"/>
  <c r="L256" i="39"/>
  <c r="L255" i="39" s="1"/>
  <c r="L253" i="39" s="1"/>
  <c r="L254" i="39" s="1"/>
  <c r="L114" i="39" s="1"/>
  <c r="L113" i="39" s="1"/>
  <c r="L109" i="39" s="1"/>
  <c r="L117" i="39" s="1"/>
  <c r="F462" i="39"/>
  <c r="G465" i="39"/>
  <c r="F465" i="39" s="1"/>
  <c r="G185" i="38"/>
  <c r="F185" i="38" s="1"/>
  <c r="F179" i="38"/>
  <c r="I330" i="38"/>
  <c r="I329" i="38" s="1"/>
  <c r="I327" i="38" s="1"/>
  <c r="I328" i="38" s="1"/>
  <c r="I226" i="38" s="1"/>
  <c r="I225" i="38" s="1"/>
  <c r="I221" i="38" s="1"/>
  <c r="I229" i="38" s="1"/>
  <c r="K463" i="39"/>
  <c r="L463" i="39"/>
  <c r="L70" i="39"/>
  <c r="L71" i="39" s="1"/>
  <c r="H461" i="39"/>
  <c r="J469" i="39"/>
  <c r="J468" i="39"/>
  <c r="J466" i="39" s="1"/>
  <c r="J467" i="39" s="1"/>
  <c r="J327" i="39" s="1"/>
  <c r="J326" i="39" s="1"/>
  <c r="J322" i="39" s="1"/>
  <c r="J330" i="39" s="1"/>
  <c r="Q443" i="37"/>
  <c r="Q444" i="37"/>
  <c r="H256" i="39"/>
  <c r="H255" i="39" s="1"/>
  <c r="H253" i="39" s="1"/>
  <c r="H254" i="39" s="1"/>
  <c r="H114" i="39" s="1"/>
  <c r="H113" i="39" s="1"/>
  <c r="H109" i="39" s="1"/>
  <c r="H117" i="39" s="1"/>
  <c r="F452" i="39"/>
  <c r="G452" i="39" s="1"/>
  <c r="F444" i="39"/>
  <c r="F454" i="39" s="1"/>
  <c r="G454" i="39" s="1"/>
  <c r="F51" i="38"/>
  <c r="F323" i="38"/>
  <c r="G326" i="38"/>
  <c r="F326" i="38" s="1"/>
  <c r="F80" i="39"/>
  <c r="G82" i="39"/>
  <c r="G6" i="39"/>
  <c r="F6" i="39" s="1"/>
  <c r="H328" i="39"/>
  <c r="I47" i="9"/>
  <c r="G290" i="40" l="1"/>
  <c r="G199" i="40" s="1"/>
  <c r="F219" i="39"/>
  <c r="F224" i="39" s="1"/>
  <c r="G224" i="39"/>
  <c r="F63" i="39"/>
  <c r="G64" i="39"/>
  <c r="F64" i="39" s="1"/>
  <c r="F239" i="39"/>
  <c r="G239" i="39" s="1"/>
  <c r="N201" i="37"/>
  <c r="N198" i="37"/>
  <c r="M201" i="37"/>
  <c r="M198" i="37"/>
  <c r="M215" i="37" s="1"/>
  <c r="M216" i="37" s="1"/>
  <c r="K201" i="37"/>
  <c r="K198" i="37"/>
  <c r="I198" i="37"/>
  <c r="I201" i="37"/>
  <c r="L215" i="37"/>
  <c r="L216" i="37" s="1"/>
  <c r="L105" i="37"/>
  <c r="L104" i="37" s="1"/>
  <c r="L103" i="37" s="1"/>
  <c r="G201" i="37"/>
  <c r="G198" i="37"/>
  <c r="H201" i="37"/>
  <c r="H198" i="37"/>
  <c r="J201" i="37"/>
  <c r="J198" i="37"/>
  <c r="I290" i="40"/>
  <c r="I199" i="40" s="1"/>
  <c r="L324" i="40"/>
  <c r="L318" i="40" s="1"/>
  <c r="L329" i="40" s="1"/>
  <c r="N290" i="40"/>
  <c r="K290" i="40"/>
  <c r="H282" i="40"/>
  <c r="G200" i="40"/>
  <c r="G202" i="40"/>
  <c r="G282" i="40"/>
  <c r="J282" i="40"/>
  <c r="N282" i="40"/>
  <c r="L290" i="40"/>
  <c r="I282" i="40"/>
  <c r="M282" i="40"/>
  <c r="H290" i="40"/>
  <c r="H199" i="40" s="1"/>
  <c r="M290" i="40"/>
  <c r="J290" i="40"/>
  <c r="L282" i="40"/>
  <c r="K282" i="40"/>
  <c r="K249" i="41"/>
  <c r="K252" i="41" s="1"/>
  <c r="H249" i="41"/>
  <c r="H252" i="41" s="1"/>
  <c r="H222" i="41"/>
  <c r="H227" i="41" s="1"/>
  <c r="I229" i="41"/>
  <c r="I228" i="41"/>
  <c r="F215" i="41"/>
  <c r="F105" i="41"/>
  <c r="K229" i="41"/>
  <c r="K228" i="41"/>
  <c r="J222" i="41"/>
  <c r="J227" i="41" s="1"/>
  <c r="J249" i="41"/>
  <c r="J252" i="41" s="1"/>
  <c r="G222" i="41"/>
  <c r="F216" i="41"/>
  <c r="G249" i="41"/>
  <c r="G103" i="41"/>
  <c r="F103" i="41" s="1"/>
  <c r="F104" i="41"/>
  <c r="L442" i="41"/>
  <c r="L467" i="41"/>
  <c r="N251" i="41"/>
  <c r="N256" i="41"/>
  <c r="J471" i="40"/>
  <c r="J466" i="40"/>
  <c r="L465" i="40"/>
  <c r="L69" i="40"/>
  <c r="L70" i="40" s="1"/>
  <c r="E183" i="38"/>
  <c r="L53" i="38"/>
  <c r="H53" i="38"/>
  <c r="K53" i="38"/>
  <c r="G53" i="38"/>
  <c r="J53" i="38"/>
  <c r="I53" i="38"/>
  <c r="G5" i="39"/>
  <c r="F5" i="39" s="1"/>
  <c r="F82" i="39"/>
  <c r="G461" i="39"/>
  <c r="K469" i="39"/>
  <c r="K468" i="39" s="1"/>
  <c r="K466" i="39" s="1"/>
  <c r="K467" i="39" s="1"/>
  <c r="K327" i="39" s="1"/>
  <c r="K326" i="39" s="1"/>
  <c r="K322" i="39" s="1"/>
  <c r="K330" i="39" s="1"/>
  <c r="G328" i="39"/>
  <c r="F328" i="39" s="1"/>
  <c r="J330" i="38"/>
  <c r="J329" i="38" s="1"/>
  <c r="J327" i="38" s="1"/>
  <c r="J328" i="38" s="1"/>
  <c r="J226" i="38" s="1"/>
  <c r="J225" i="38" s="1"/>
  <c r="J221" i="38" s="1"/>
  <c r="J229" i="38" s="1"/>
  <c r="H463" i="39"/>
  <c r="H70" i="39"/>
  <c r="H71" i="39" s="1"/>
  <c r="L469" i="39"/>
  <c r="L468" i="39" s="1"/>
  <c r="L466" i="39" s="1"/>
  <c r="L467" i="39" s="1"/>
  <c r="L327" i="39" s="1"/>
  <c r="L326" i="39" s="1"/>
  <c r="L322" i="39" s="1"/>
  <c r="L330" i="39" s="1"/>
  <c r="G322" i="38"/>
  <c r="N469" i="39"/>
  <c r="N468" i="39"/>
  <c r="N466" i="39" s="1"/>
  <c r="N467" i="39" s="1"/>
  <c r="N327" i="39" s="1"/>
  <c r="N326" i="39" s="1"/>
  <c r="N322" i="39" s="1"/>
  <c r="N330" i="39" s="1"/>
  <c r="G248" i="39"/>
  <c r="K304" i="35"/>
  <c r="G304" i="35" s="1"/>
  <c r="K305" i="35"/>
  <c r="G305" i="35" s="1"/>
  <c r="K306" i="35"/>
  <c r="G306" i="35" s="1"/>
  <c r="K307" i="35"/>
  <c r="G307" i="35" s="1"/>
  <c r="K308" i="35"/>
  <c r="G308" i="35" s="1"/>
  <c r="K309" i="35"/>
  <c r="G309" i="35" s="1"/>
  <c r="K310" i="35"/>
  <c r="G310" i="35" s="1"/>
  <c r="K311" i="35"/>
  <c r="G311" i="35" s="1"/>
  <c r="K312" i="35"/>
  <c r="G312" i="35" s="1"/>
  <c r="K313" i="35"/>
  <c r="G313" i="35" s="1"/>
  <c r="K303" i="35"/>
  <c r="G303" i="35" s="1"/>
  <c r="K293" i="35"/>
  <c r="G293" i="35" s="1"/>
  <c r="K294" i="35"/>
  <c r="G294" i="35" s="1"/>
  <c r="K295" i="35"/>
  <c r="G295" i="35" s="1"/>
  <c r="K296" i="35"/>
  <c r="G296" i="35" s="1"/>
  <c r="K297" i="35"/>
  <c r="G297" i="35" s="1"/>
  <c r="K298" i="35"/>
  <c r="G298" i="35" s="1"/>
  <c r="K299" i="35"/>
  <c r="G299" i="35" s="1"/>
  <c r="K300" i="35"/>
  <c r="G300" i="35" s="1"/>
  <c r="K301" i="35"/>
  <c r="G301" i="35" s="1"/>
  <c r="K302" i="35"/>
  <c r="G302" i="35" s="1"/>
  <c r="K292" i="35"/>
  <c r="G292" i="35" s="1"/>
  <c r="K282" i="35"/>
  <c r="G282" i="35" s="1"/>
  <c r="K283" i="35"/>
  <c r="G283" i="35" s="1"/>
  <c r="K284" i="35"/>
  <c r="G284" i="35" s="1"/>
  <c r="K285" i="35"/>
  <c r="G285" i="35" s="1"/>
  <c r="K286" i="35"/>
  <c r="G286" i="35" s="1"/>
  <c r="K287" i="35"/>
  <c r="G287" i="35" s="1"/>
  <c r="K288" i="35"/>
  <c r="G288" i="35" s="1"/>
  <c r="K289" i="35"/>
  <c r="G289" i="35" s="1"/>
  <c r="K290" i="35"/>
  <c r="G290" i="35" s="1"/>
  <c r="K291" i="35"/>
  <c r="G291" i="35" s="1"/>
  <c r="K281" i="35"/>
  <c r="G281" i="35" s="1"/>
  <c r="K280" i="35"/>
  <c r="G280" i="35" s="1"/>
  <c r="K279" i="35"/>
  <c r="G279" i="35" s="1"/>
  <c r="G66" i="39" l="1"/>
  <c r="K66" i="39"/>
  <c r="M66" i="39"/>
  <c r="I66" i="39"/>
  <c r="H66" i="39"/>
  <c r="N66" i="39"/>
  <c r="L66" i="39"/>
  <c r="J66" i="39"/>
  <c r="G249" i="39"/>
  <c r="G69" i="39"/>
  <c r="F53" i="38"/>
  <c r="F54" i="38" s="1"/>
  <c r="J54" i="38" s="1"/>
  <c r="M249" i="37"/>
  <c r="M252" i="37" s="1"/>
  <c r="M222" i="37"/>
  <c r="M227" i="37" s="1"/>
  <c r="L222" i="37"/>
  <c r="L227" i="37" s="1"/>
  <c r="L249" i="37"/>
  <c r="L252" i="37" s="1"/>
  <c r="M105" i="37"/>
  <c r="M104" i="37" s="1"/>
  <c r="M103" i="37" s="1"/>
  <c r="F198" i="37"/>
  <c r="K215" i="37"/>
  <c r="K216" i="37" s="1"/>
  <c r="K105" i="37"/>
  <c r="K104" i="37" s="1"/>
  <c r="K103" i="37" s="1"/>
  <c r="J105" i="37"/>
  <c r="J104" i="37" s="1"/>
  <c r="J103" i="37" s="1"/>
  <c r="J215" i="37"/>
  <c r="J216" i="37" s="1"/>
  <c r="H215" i="37"/>
  <c r="H216" i="37" s="1"/>
  <c r="H105" i="37"/>
  <c r="H104" i="37" s="1"/>
  <c r="H103" i="37" s="1"/>
  <c r="F201" i="37"/>
  <c r="G215" i="37"/>
  <c r="G105" i="37"/>
  <c r="I105" i="37"/>
  <c r="I104" i="37" s="1"/>
  <c r="I103" i="37" s="1"/>
  <c r="I215" i="37"/>
  <c r="I216" i="37" s="1"/>
  <c r="N215" i="37"/>
  <c r="N216" i="37" s="1"/>
  <c r="N105" i="37"/>
  <c r="N104" i="37" s="1"/>
  <c r="N103" i="37" s="1"/>
  <c r="P239" i="37"/>
  <c r="Q239" i="37"/>
  <c r="O239" i="37"/>
  <c r="P238" i="37"/>
  <c r="Q238" i="37"/>
  <c r="O238" i="37"/>
  <c r="I200" i="40"/>
  <c r="I202" i="40"/>
  <c r="G215" i="40"/>
  <c r="G105" i="40"/>
  <c r="H202" i="40"/>
  <c r="H200" i="40"/>
  <c r="G227" i="41"/>
  <c r="F222" i="41"/>
  <c r="F224" i="41" s="1"/>
  <c r="H229" i="41"/>
  <c r="H228" i="41"/>
  <c r="G252" i="41"/>
  <c r="F252" i="41" s="1"/>
  <c r="F249" i="41"/>
  <c r="J228" i="41"/>
  <c r="J229" i="41"/>
  <c r="L452" i="41"/>
  <c r="L444" i="41"/>
  <c r="L443" i="41"/>
  <c r="L466" i="40"/>
  <c r="L471" i="40"/>
  <c r="I54" i="38"/>
  <c r="L54" i="38"/>
  <c r="H54" i="38"/>
  <c r="K54" i="38"/>
  <c r="G54" i="38"/>
  <c r="F248" i="39"/>
  <c r="G250" i="39"/>
  <c r="H469" i="39"/>
  <c r="H468" i="39" s="1"/>
  <c r="H466" i="39" s="1"/>
  <c r="H467" i="39" s="1"/>
  <c r="H327" i="39" s="1"/>
  <c r="H326" i="39" s="1"/>
  <c r="H322" i="39" s="1"/>
  <c r="H330" i="39" s="1"/>
  <c r="F461" i="39"/>
  <c r="G463" i="39"/>
  <c r="G70" i="39"/>
  <c r="E184" i="38"/>
  <c r="E185" i="38" s="1"/>
  <c r="G184" i="38" s="1"/>
  <c r="F322" i="38"/>
  <c r="G324" i="38"/>
  <c r="G50" i="38"/>
  <c r="I46" i="34"/>
  <c r="I44" i="34"/>
  <c r="I43" i="34"/>
  <c r="I42" i="34"/>
  <c r="I41" i="34"/>
  <c r="I40" i="34"/>
  <c r="I39" i="34"/>
  <c r="I38" i="34"/>
  <c r="I37" i="34"/>
  <c r="I36" i="34"/>
  <c r="I35" i="34"/>
  <c r="I34" i="34"/>
  <c r="I33" i="34"/>
  <c r="I31" i="34"/>
  <c r="I29" i="34"/>
  <c r="K6" i="35"/>
  <c r="F249" i="39" l="1"/>
  <c r="G252" i="39"/>
  <c r="F252" i="39" s="1"/>
  <c r="G72" i="39"/>
  <c r="F72" i="39" s="1"/>
  <c r="F69" i="39"/>
  <c r="F66" i="39"/>
  <c r="F67" i="39" s="1"/>
  <c r="G6" i="35"/>
  <c r="I45" i="34"/>
  <c r="G22" i="40" s="1"/>
  <c r="Q110" i="37"/>
  <c r="I249" i="37"/>
  <c r="I252" i="37" s="1"/>
  <c r="I222" i="37"/>
  <c r="I227" i="37" s="1"/>
  <c r="J222" i="37"/>
  <c r="J227" i="37" s="1"/>
  <c r="J249" i="37"/>
  <c r="J252" i="37" s="1"/>
  <c r="F105" i="37"/>
  <c r="G104" i="37"/>
  <c r="L229" i="37"/>
  <c r="L228" i="37"/>
  <c r="M228" i="37"/>
  <c r="M229" i="37"/>
  <c r="N222" i="37"/>
  <c r="N227" i="37" s="1"/>
  <c r="N249" i="37"/>
  <c r="N252" i="37" s="1"/>
  <c r="F215" i="37"/>
  <c r="G216" i="37"/>
  <c r="H249" i="37"/>
  <c r="H252" i="37" s="1"/>
  <c r="H222" i="37"/>
  <c r="H227" i="37" s="1"/>
  <c r="K222" i="37"/>
  <c r="K227" i="37" s="1"/>
  <c r="K249" i="37"/>
  <c r="K252" i="37" s="1"/>
  <c r="O110" i="37"/>
  <c r="P110" i="37"/>
  <c r="Q237" i="37"/>
  <c r="P237" i="37"/>
  <c r="O237" i="37"/>
  <c r="I215" i="40"/>
  <c r="I216" i="40" s="1"/>
  <c r="I105" i="40"/>
  <c r="I104" i="40" s="1"/>
  <c r="I103" i="40" s="1"/>
  <c r="G104" i="40"/>
  <c r="H105" i="40"/>
  <c r="H104" i="40" s="1"/>
  <c r="H103" i="40" s="1"/>
  <c r="H215" i="40"/>
  <c r="H216" i="40" s="1"/>
  <c r="G216" i="40"/>
  <c r="F202" i="40"/>
  <c r="F200" i="40"/>
  <c r="G295" i="41"/>
  <c r="G294" i="41"/>
  <c r="G293" i="41"/>
  <c r="G296" i="41" s="1"/>
  <c r="E227" i="41" s="1"/>
  <c r="G229" i="41"/>
  <c r="F229" i="41" s="1"/>
  <c r="F239" i="41" s="1"/>
  <c r="F227" i="41"/>
  <c r="G228" i="41"/>
  <c r="F228" i="41" s="1"/>
  <c r="L325" i="41"/>
  <c r="L453" i="41"/>
  <c r="L454" i="41"/>
  <c r="F184" i="38"/>
  <c r="G182" i="38"/>
  <c r="G55" i="38"/>
  <c r="F50" i="38"/>
  <c r="F70" i="39"/>
  <c r="G71" i="39"/>
  <c r="F71" i="39" s="1"/>
  <c r="G256" i="39"/>
  <c r="F256" i="39" s="1"/>
  <c r="F250" i="39"/>
  <c r="G330" i="38"/>
  <c r="F330" i="38" s="1"/>
  <c r="F324" i="38"/>
  <c r="G469" i="39"/>
  <c r="F469" i="39" s="1"/>
  <c r="F463" i="39"/>
  <c r="K67" i="39" l="1"/>
  <c r="N67" i="39"/>
  <c r="L67" i="39"/>
  <c r="G67" i="39"/>
  <c r="I67" i="39"/>
  <c r="H67" i="39"/>
  <c r="M67" i="39"/>
  <c r="J67" i="39"/>
  <c r="E237" i="41"/>
  <c r="F237" i="41" s="1"/>
  <c r="J237" i="41" s="1"/>
  <c r="E228" i="41"/>
  <c r="E238" i="41" s="1"/>
  <c r="F238" i="41" s="1"/>
  <c r="L22" i="37"/>
  <c r="L44" i="37" s="1"/>
  <c r="G314" i="40"/>
  <c r="F314" i="40" s="1"/>
  <c r="F22" i="40"/>
  <c r="G351" i="37"/>
  <c r="F104" i="37"/>
  <c r="G103" i="37"/>
  <c r="F103" i="37" s="1"/>
  <c r="H229" i="37"/>
  <c r="H228" i="37"/>
  <c r="J228" i="37"/>
  <c r="J229" i="37"/>
  <c r="K228" i="37"/>
  <c r="K229" i="37"/>
  <c r="N229" i="37"/>
  <c r="N228" i="37"/>
  <c r="I228" i="37"/>
  <c r="I229" i="37"/>
  <c r="G249" i="37"/>
  <c r="G222" i="37"/>
  <c r="F216" i="37"/>
  <c r="Q454" i="37"/>
  <c r="P248" i="37"/>
  <c r="P250" i="37" s="1"/>
  <c r="Q452" i="37"/>
  <c r="O248" i="37"/>
  <c r="O250" i="37" s="1"/>
  <c r="Q453" i="37"/>
  <c r="Q248" i="37"/>
  <c r="Q250" i="37" s="1"/>
  <c r="F105" i="40"/>
  <c r="I249" i="40"/>
  <c r="I252" i="40" s="1"/>
  <c r="I222" i="40"/>
  <c r="I227" i="40" s="1"/>
  <c r="F215" i="40"/>
  <c r="H222" i="40"/>
  <c r="H227" i="40" s="1"/>
  <c r="H249" i="40"/>
  <c r="H252" i="40" s="1"/>
  <c r="F104" i="40"/>
  <c r="G103" i="40"/>
  <c r="F103" i="40" s="1"/>
  <c r="G249" i="40"/>
  <c r="G222" i="40"/>
  <c r="F216" i="40"/>
  <c r="K239" i="41"/>
  <c r="I239" i="41"/>
  <c r="H239" i="41"/>
  <c r="J239" i="41"/>
  <c r="L463" i="41"/>
  <c r="L69" i="41" s="1"/>
  <c r="L70" i="41" s="1"/>
  <c r="L326" i="41"/>
  <c r="L324" i="41" s="1"/>
  <c r="L318" i="41" s="1"/>
  <c r="L329" i="41" s="1"/>
  <c r="E467" i="39"/>
  <c r="E254" i="39"/>
  <c r="E328" i="38"/>
  <c r="F55" i="38"/>
  <c r="G56" i="38"/>
  <c r="F182" i="38"/>
  <c r="G183" i="38"/>
  <c r="G81" i="38" s="1"/>
  <c r="N73" i="39"/>
  <c r="J73" i="39"/>
  <c r="M73" i="39"/>
  <c r="I73" i="39"/>
  <c r="L73" i="39"/>
  <c r="H73" i="39"/>
  <c r="K73" i="39"/>
  <c r="G73" i="39"/>
  <c r="F73" i="39" s="1"/>
  <c r="F74" i="39" s="1"/>
  <c r="J238" i="41" l="1"/>
  <c r="I238" i="41"/>
  <c r="H238" i="41"/>
  <c r="K238" i="41"/>
  <c r="J110" i="41"/>
  <c r="L314" i="37"/>
  <c r="F314" i="37" s="1"/>
  <c r="F22" i="37"/>
  <c r="G317" i="37"/>
  <c r="F222" i="37"/>
  <c r="F224" i="37" s="1"/>
  <c r="G227" i="37"/>
  <c r="F249" i="37"/>
  <c r="G252" i="37"/>
  <c r="F252" i="37" s="1"/>
  <c r="Q326" i="37"/>
  <c r="P251" i="37"/>
  <c r="P256" i="37"/>
  <c r="Q251" i="37"/>
  <c r="Q256" i="37"/>
  <c r="O256" i="37"/>
  <c r="O251" i="37"/>
  <c r="Q463" i="37"/>
  <c r="I229" i="40"/>
  <c r="I228" i="40"/>
  <c r="F222" i="40"/>
  <c r="F224" i="40" s="1"/>
  <c r="G227" i="40"/>
  <c r="G252" i="40"/>
  <c r="F252" i="40" s="1"/>
  <c r="F249" i="40"/>
  <c r="H228" i="40"/>
  <c r="H229" i="40"/>
  <c r="K237" i="41"/>
  <c r="K248" i="41" s="1"/>
  <c r="K250" i="41" s="1"/>
  <c r="I110" i="41"/>
  <c r="K110" i="41"/>
  <c r="I237" i="41"/>
  <c r="I248" i="41" s="1"/>
  <c r="I250" i="41" s="1"/>
  <c r="H110" i="41"/>
  <c r="H237" i="41"/>
  <c r="L465" i="41"/>
  <c r="L471" i="41" s="1"/>
  <c r="G239" i="41"/>
  <c r="J248" i="41"/>
  <c r="J250" i="41" s="1"/>
  <c r="G238" i="41"/>
  <c r="M74" i="39"/>
  <c r="I74" i="39"/>
  <c r="L74" i="39"/>
  <c r="H74" i="39"/>
  <c r="K74" i="39"/>
  <c r="G74" i="39"/>
  <c r="N74" i="39"/>
  <c r="J74" i="39"/>
  <c r="F81" i="38"/>
  <c r="G80" i="38"/>
  <c r="E255" i="39"/>
  <c r="E256" i="39" s="1"/>
  <c r="G255" i="39" s="1"/>
  <c r="G57" i="38"/>
  <c r="F56" i="38"/>
  <c r="G60" i="38"/>
  <c r="E329" i="38"/>
  <c r="E330" i="38" s="1"/>
  <c r="G329" i="38" s="1"/>
  <c r="E468" i="39"/>
  <c r="E469" i="39" s="1"/>
  <c r="G468" i="39" s="1"/>
  <c r="L351" i="37" l="1"/>
  <c r="F44" i="37"/>
  <c r="G228" i="37"/>
  <c r="F228" i="37" s="1"/>
  <c r="G229" i="37"/>
  <c r="F229" i="37" s="1"/>
  <c r="F239" i="37" s="1"/>
  <c r="F227" i="37"/>
  <c r="G294" i="37"/>
  <c r="G295" i="37"/>
  <c r="G293" i="37"/>
  <c r="G296" i="37" s="1"/>
  <c r="E227" i="37" s="1"/>
  <c r="Q69" i="37"/>
  <c r="Q70" i="37" s="1"/>
  <c r="Q465" i="37"/>
  <c r="G229" i="40"/>
  <c r="F229" i="40" s="1"/>
  <c r="F239" i="40" s="1"/>
  <c r="G228" i="40"/>
  <c r="F228" i="40" s="1"/>
  <c r="F227" i="40"/>
  <c r="G295" i="40"/>
  <c r="G293" i="40"/>
  <c r="G296" i="40" s="1"/>
  <c r="E227" i="40" s="1"/>
  <c r="G294" i="40"/>
  <c r="L466" i="41"/>
  <c r="G237" i="41"/>
  <c r="G248" i="41" s="1"/>
  <c r="H248" i="41"/>
  <c r="H250" i="41" s="1"/>
  <c r="H251" i="41" s="1"/>
  <c r="G110" i="41"/>
  <c r="F110" i="41" s="1"/>
  <c r="I251" i="41"/>
  <c r="I256" i="41"/>
  <c r="J251" i="41"/>
  <c r="J256" i="41"/>
  <c r="K256" i="41"/>
  <c r="K251" i="41"/>
  <c r="F468" i="39"/>
  <c r="G466" i="39"/>
  <c r="F255" i="39"/>
  <c r="G253" i="39"/>
  <c r="F329" i="38"/>
  <c r="G327" i="38"/>
  <c r="G62" i="38"/>
  <c r="F60" i="38"/>
  <c r="G6" i="38"/>
  <c r="F6" i="38" s="1"/>
  <c r="F80" i="38"/>
  <c r="G76" i="38"/>
  <c r="G59" i="38"/>
  <c r="F59" i="38" s="1"/>
  <c r="F57" i="38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6" i="33"/>
  <c r="E237" i="40" l="1"/>
  <c r="E228" i="40"/>
  <c r="E238" i="40" s="1"/>
  <c r="F238" i="40" s="1"/>
  <c r="E237" i="37"/>
  <c r="F237" i="37" s="1"/>
  <c r="E228" i="37"/>
  <c r="E238" i="37" s="1"/>
  <c r="F238" i="37" s="1"/>
  <c r="L317" i="37"/>
  <c r="F317" i="37" s="1"/>
  <c r="F351" i="37"/>
  <c r="I237" i="37"/>
  <c r="H237" i="37"/>
  <c r="J237" i="37"/>
  <c r="M237" i="37"/>
  <c r="L237" i="37"/>
  <c r="K237" i="37"/>
  <c r="N237" i="37"/>
  <c r="M239" i="37"/>
  <c r="L239" i="37"/>
  <c r="H239" i="37"/>
  <c r="J239" i="37"/>
  <c r="K239" i="37"/>
  <c r="N239" i="37"/>
  <c r="I239" i="37"/>
  <c r="Q471" i="37"/>
  <c r="Q466" i="37"/>
  <c r="F237" i="40"/>
  <c r="H237" i="40"/>
  <c r="I237" i="40"/>
  <c r="I239" i="40"/>
  <c r="H239" i="40"/>
  <c r="H256" i="41"/>
  <c r="G250" i="41"/>
  <c r="F248" i="41"/>
  <c r="F253" i="39"/>
  <c r="G254" i="39"/>
  <c r="G114" i="39" s="1"/>
  <c r="F76" i="38"/>
  <c r="G84" i="38"/>
  <c r="F84" i="38" s="1"/>
  <c r="F62" i="38"/>
  <c r="G5" i="38"/>
  <c r="F5" i="38" s="1"/>
  <c r="F327" i="38"/>
  <c r="G328" i="38"/>
  <c r="G226" i="38" s="1"/>
  <c r="F466" i="39"/>
  <c r="G467" i="39"/>
  <c r="G327" i="39" s="1"/>
  <c r="K320" i="35"/>
  <c r="G320" i="35" s="1"/>
  <c r="D316" i="35"/>
  <c r="D315" i="35"/>
  <c r="K95" i="35"/>
  <c r="K56" i="35"/>
  <c r="K7" i="35"/>
  <c r="L238" i="37" l="1"/>
  <c r="M238" i="37"/>
  <c r="M110" i="37" s="1"/>
  <c r="K238" i="37"/>
  <c r="K248" i="37" s="1"/>
  <c r="K250" i="37" s="1"/>
  <c r="I238" i="37"/>
  <c r="I110" i="37" s="1"/>
  <c r="N238" i="37"/>
  <c r="J238" i="37"/>
  <c r="H238" i="37"/>
  <c r="H110" i="37" s="1"/>
  <c r="H238" i="40"/>
  <c r="I238" i="40"/>
  <c r="I248" i="40" s="1"/>
  <c r="I250" i="40" s="1"/>
  <c r="G7" i="35"/>
  <c r="K73" i="35"/>
  <c r="G73" i="35" s="1"/>
  <c r="G56" i="35"/>
  <c r="N110" i="37"/>
  <c r="M248" i="37"/>
  <c r="M250" i="37" s="1"/>
  <c r="M251" i="37" s="1"/>
  <c r="N248" i="37"/>
  <c r="N250" i="37" s="1"/>
  <c r="N256" i="37" s="1"/>
  <c r="G239" i="37"/>
  <c r="G237" i="37"/>
  <c r="J110" i="37"/>
  <c r="K110" i="37"/>
  <c r="J248" i="37"/>
  <c r="J250" i="37" s="1"/>
  <c r="L110" i="37"/>
  <c r="L248" i="37"/>
  <c r="L250" i="37" s="1"/>
  <c r="I248" i="37"/>
  <c r="I250" i="37" s="1"/>
  <c r="G239" i="40"/>
  <c r="I110" i="40"/>
  <c r="H248" i="40"/>
  <c r="H250" i="40" s="1"/>
  <c r="G237" i="40"/>
  <c r="H110" i="40"/>
  <c r="G238" i="40"/>
  <c r="F250" i="41"/>
  <c r="G251" i="41"/>
  <c r="G256" i="41"/>
  <c r="F327" i="39"/>
  <c r="G326" i="39"/>
  <c r="F114" i="39"/>
  <c r="G113" i="39"/>
  <c r="G225" i="38"/>
  <c r="F226" i="38"/>
  <c r="I11" i="33"/>
  <c r="I15" i="33"/>
  <c r="I19" i="33"/>
  <c r="I23" i="33"/>
  <c r="I24" i="33"/>
  <c r="I18" i="33"/>
  <c r="I7" i="33"/>
  <c r="I12" i="33"/>
  <c r="I16" i="33"/>
  <c r="I20" i="33"/>
  <c r="I10" i="33"/>
  <c r="I22" i="33"/>
  <c r="I9" i="33"/>
  <c r="I13" i="33"/>
  <c r="I17" i="33"/>
  <c r="I21" i="33"/>
  <c r="I6" i="33"/>
  <c r="I14" i="33"/>
  <c r="H248" i="37" l="1"/>
  <c r="H250" i="37" s="1"/>
  <c r="G238" i="37"/>
  <c r="N251" i="37"/>
  <c r="M256" i="37"/>
  <c r="G110" i="37"/>
  <c r="F110" i="37" s="1"/>
  <c r="I251" i="37"/>
  <c r="I256" i="37"/>
  <c r="J251" i="37"/>
  <c r="J256" i="37"/>
  <c r="K251" i="37"/>
  <c r="K256" i="37"/>
  <c r="L256" i="37"/>
  <c r="L251" i="37"/>
  <c r="H251" i="37"/>
  <c r="H256" i="37"/>
  <c r="G248" i="37"/>
  <c r="G110" i="40"/>
  <c r="F110" i="40" s="1"/>
  <c r="I256" i="40"/>
  <c r="I251" i="40"/>
  <c r="G248" i="40"/>
  <c r="H256" i="40"/>
  <c r="H251" i="40"/>
  <c r="E254" i="41"/>
  <c r="F113" i="39"/>
  <c r="G109" i="39"/>
  <c r="F225" i="38"/>
  <c r="G221" i="38"/>
  <c r="F326" i="39"/>
  <c r="G322" i="39"/>
  <c r="M25" i="34"/>
  <c r="C5" i="34"/>
  <c r="M25" i="33"/>
  <c r="G250" i="37" l="1"/>
  <c r="F248" i="37"/>
  <c r="G250" i="40"/>
  <c r="F248" i="40"/>
  <c r="E255" i="41"/>
  <c r="F255" i="41" s="1"/>
  <c r="F221" i="38"/>
  <c r="G229" i="38"/>
  <c r="F229" i="38" s="1"/>
  <c r="F109" i="39"/>
  <c r="G117" i="39"/>
  <c r="F117" i="39" s="1"/>
  <c r="F322" i="39"/>
  <c r="G330" i="39"/>
  <c r="F330" i="39" s="1"/>
  <c r="F250" i="37" l="1"/>
  <c r="G251" i="37"/>
  <c r="G256" i="37"/>
  <c r="G256" i="40"/>
  <c r="G251" i="40"/>
  <c r="E254" i="40" s="1"/>
  <c r="E255" i="40" s="1"/>
  <c r="F255" i="40" s="1"/>
  <c r="F250" i="40"/>
  <c r="E256" i="41"/>
  <c r="L255" i="41" s="1"/>
  <c r="L253" i="41" s="1"/>
  <c r="L254" i="41" s="1"/>
  <c r="T134" i="8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15" i="8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S8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6" i="32"/>
  <c r="E254" i="37" l="1"/>
  <c r="E256" i="40"/>
  <c r="N255" i="40" s="1"/>
  <c r="N253" i="40" s="1"/>
  <c r="N254" i="40" s="1"/>
  <c r="J255" i="40"/>
  <c r="J253" i="40" s="1"/>
  <c r="J254" i="40" s="1"/>
  <c r="H255" i="40"/>
  <c r="H253" i="40" s="1"/>
  <c r="H254" i="40" s="1"/>
  <c r="H109" i="40" s="1"/>
  <c r="H108" i="40" s="1"/>
  <c r="H102" i="40" s="1"/>
  <c r="H113" i="40" s="1"/>
  <c r="I255" i="40"/>
  <c r="I253" i="40" s="1"/>
  <c r="I254" i="40" s="1"/>
  <c r="I109" i="40" s="1"/>
  <c r="I108" i="40" s="1"/>
  <c r="I102" i="40" s="1"/>
  <c r="I113" i="40" s="1"/>
  <c r="K255" i="41"/>
  <c r="K253" i="41" s="1"/>
  <c r="K254" i="41" s="1"/>
  <c r="K109" i="41" s="1"/>
  <c r="K108" i="41" s="1"/>
  <c r="K102" i="41" s="1"/>
  <c r="K113" i="41" s="1"/>
  <c r="F256" i="41"/>
  <c r="H255" i="41"/>
  <c r="H253" i="41" s="1"/>
  <c r="H254" i="41" s="1"/>
  <c r="H109" i="41" s="1"/>
  <c r="H108" i="41" s="1"/>
  <c r="H102" i="41" s="1"/>
  <c r="H113" i="41" s="1"/>
  <c r="I255" i="41"/>
  <c r="I253" i="41" s="1"/>
  <c r="I254" i="41" s="1"/>
  <c r="I109" i="41" s="1"/>
  <c r="I108" i="41" s="1"/>
  <c r="I102" i="41" s="1"/>
  <c r="I113" i="41" s="1"/>
  <c r="N255" i="41"/>
  <c r="N253" i="41" s="1"/>
  <c r="N254" i="41" s="1"/>
  <c r="M255" i="41"/>
  <c r="M253" i="41" s="1"/>
  <c r="M254" i="41" s="1"/>
  <c r="J255" i="41"/>
  <c r="J253" i="41" s="1"/>
  <c r="J254" i="41" s="1"/>
  <c r="J109" i="41" s="1"/>
  <c r="J108" i="41" s="1"/>
  <c r="J102" i="41" s="1"/>
  <c r="J113" i="41" s="1"/>
  <c r="V26" i="30"/>
  <c r="U26" i="30"/>
  <c r="V25" i="30"/>
  <c r="U25" i="30"/>
  <c r="W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H14" i="30"/>
  <c r="H9" i="30" s="1"/>
  <c r="K3" i="30" s="1"/>
  <c r="AA9" i="30"/>
  <c r="V5" i="30" s="1"/>
  <c r="Z9" i="30"/>
  <c r="U5" i="30" s="1"/>
  <c r="Y9" i="30"/>
  <c r="T5" i="30" s="1"/>
  <c r="X9" i="30"/>
  <c r="S5" i="30" s="1"/>
  <c r="W9" i="30"/>
  <c r="V4" i="30" s="1"/>
  <c r="V9" i="30"/>
  <c r="U4" i="30" s="1"/>
  <c r="U9" i="30"/>
  <c r="T9" i="30"/>
  <c r="S9" i="30"/>
  <c r="R9" i="30"/>
  <c r="Q9" i="30"/>
  <c r="P9" i="30"/>
  <c r="O9" i="30"/>
  <c r="N4" i="30" s="1"/>
  <c r="N9" i="30"/>
  <c r="M4" i="30" s="1"/>
  <c r="M9" i="30"/>
  <c r="L4" i="30" s="1"/>
  <c r="L9" i="30"/>
  <c r="K4" i="30" s="1"/>
  <c r="K9" i="30"/>
  <c r="J9" i="30"/>
  <c r="M3" i="30" s="1"/>
  <c r="I9" i="30"/>
  <c r="L2" i="30" s="1"/>
  <c r="T4" i="30"/>
  <c r="S4" i="30"/>
  <c r="S3" i="30"/>
  <c r="S2" i="30" l="1"/>
  <c r="T2" i="30"/>
  <c r="K2" i="30"/>
  <c r="T3" i="30"/>
  <c r="L3" i="30"/>
  <c r="V2" i="30"/>
  <c r="V3" i="30"/>
  <c r="N2" i="30"/>
  <c r="U2" i="30"/>
  <c r="U3" i="30"/>
  <c r="N3" i="30"/>
  <c r="M2" i="30"/>
  <c r="E255" i="37"/>
  <c r="F255" i="37" s="1"/>
  <c r="L255" i="40"/>
  <c r="L253" i="40" s="1"/>
  <c r="L254" i="40" s="1"/>
  <c r="K255" i="40"/>
  <c r="K253" i="40" s="1"/>
  <c r="K254" i="40" s="1"/>
  <c r="M255" i="40"/>
  <c r="M253" i="40" s="1"/>
  <c r="M254" i="40" s="1"/>
  <c r="F256" i="40"/>
  <c r="G255" i="40" s="1"/>
  <c r="G253" i="40" s="1"/>
  <c r="G254" i="40" s="1"/>
  <c r="G109" i="40" s="1"/>
  <c r="G255" i="41"/>
  <c r="G253" i="41" s="1"/>
  <c r="U20" i="30"/>
  <c r="V20" i="30"/>
  <c r="E256" i="37" l="1"/>
  <c r="F253" i="40"/>
  <c r="G108" i="40"/>
  <c r="F109" i="40"/>
  <c r="G254" i="41"/>
  <c r="G109" i="41" s="1"/>
  <c r="F253" i="41"/>
  <c r="O136" i="8"/>
  <c r="P255" i="37" l="1"/>
  <c r="P253" i="37" s="1"/>
  <c r="P254" i="37" s="1"/>
  <c r="P109" i="37" s="1"/>
  <c r="P108" i="37" s="1"/>
  <c r="P102" i="37" s="1"/>
  <c r="P113" i="37" s="1"/>
  <c r="Q255" i="37"/>
  <c r="Q253" i="37" s="1"/>
  <c r="Q254" i="37" s="1"/>
  <c r="Q109" i="37" s="1"/>
  <c r="Q108" i="37" s="1"/>
  <c r="Q102" i="37" s="1"/>
  <c r="Q113" i="37" s="1"/>
  <c r="O255" i="37"/>
  <c r="O253" i="37" s="1"/>
  <c r="O254" i="37" s="1"/>
  <c r="O109" i="37" s="1"/>
  <c r="O108" i="37" s="1"/>
  <c r="O102" i="37" s="1"/>
  <c r="O113" i="37" s="1"/>
  <c r="N255" i="37"/>
  <c r="N253" i="37" s="1"/>
  <c r="N254" i="37" s="1"/>
  <c r="N109" i="37" s="1"/>
  <c r="N108" i="37" s="1"/>
  <c r="N102" i="37" s="1"/>
  <c r="N113" i="37" s="1"/>
  <c r="M255" i="37"/>
  <c r="M253" i="37" s="1"/>
  <c r="M254" i="37" s="1"/>
  <c r="M109" i="37" s="1"/>
  <c r="M108" i="37" s="1"/>
  <c r="M102" i="37" s="1"/>
  <c r="M113" i="37" s="1"/>
  <c r="L255" i="37"/>
  <c r="L253" i="37" s="1"/>
  <c r="L254" i="37" s="1"/>
  <c r="L109" i="37" s="1"/>
  <c r="L108" i="37" s="1"/>
  <c r="L102" i="37" s="1"/>
  <c r="L113" i="37" s="1"/>
  <c r="K255" i="37"/>
  <c r="K253" i="37" s="1"/>
  <c r="K254" i="37" s="1"/>
  <c r="K109" i="37" s="1"/>
  <c r="K108" i="37" s="1"/>
  <c r="K102" i="37" s="1"/>
  <c r="K113" i="37" s="1"/>
  <c r="I255" i="37"/>
  <c r="I253" i="37" s="1"/>
  <c r="I254" i="37" s="1"/>
  <c r="I109" i="37" s="1"/>
  <c r="I108" i="37" s="1"/>
  <c r="I102" i="37" s="1"/>
  <c r="I113" i="37" s="1"/>
  <c r="J255" i="37"/>
  <c r="J253" i="37" s="1"/>
  <c r="J254" i="37" s="1"/>
  <c r="J109" i="37" s="1"/>
  <c r="J108" i="37" s="1"/>
  <c r="J102" i="37" s="1"/>
  <c r="J113" i="37" s="1"/>
  <c r="H255" i="37"/>
  <c r="H253" i="37" s="1"/>
  <c r="H254" i="37" s="1"/>
  <c r="H109" i="37" s="1"/>
  <c r="H108" i="37" s="1"/>
  <c r="H102" i="37" s="1"/>
  <c r="H113" i="37" s="1"/>
  <c r="F256" i="37"/>
  <c r="G102" i="40"/>
  <c r="F108" i="40"/>
  <c r="F109" i="41"/>
  <c r="G108" i="41"/>
  <c r="G255" i="37" l="1"/>
  <c r="G253" i="37" s="1"/>
  <c r="F253" i="37" s="1"/>
  <c r="F102" i="40"/>
  <c r="G113" i="40"/>
  <c r="F113" i="40" s="1"/>
  <c r="F108" i="41"/>
  <c r="G102" i="41"/>
  <c r="R134" i="8"/>
  <c r="Q134" i="8" s="1"/>
  <c r="R133" i="8"/>
  <c r="Q133" i="8" s="1"/>
  <c r="R132" i="8"/>
  <c r="Q132" i="8" s="1"/>
  <c r="R131" i="8"/>
  <c r="Q131" i="8" s="1"/>
  <c r="R130" i="8"/>
  <c r="Q130" i="8" s="1"/>
  <c r="R129" i="8"/>
  <c r="Q129" i="8" s="1"/>
  <c r="R128" i="8"/>
  <c r="Q128" i="8" s="1"/>
  <c r="R127" i="8"/>
  <c r="Q127" i="8" s="1"/>
  <c r="R126" i="8"/>
  <c r="Q126" i="8" s="1"/>
  <c r="R125" i="8"/>
  <c r="Q125" i="8" s="1"/>
  <c r="R124" i="8"/>
  <c r="Q124" i="8" s="1"/>
  <c r="R123" i="8"/>
  <c r="Q123" i="8" s="1"/>
  <c r="R122" i="8"/>
  <c r="Q122" i="8" s="1"/>
  <c r="R121" i="8"/>
  <c r="Q121" i="8" s="1"/>
  <c r="R120" i="8"/>
  <c r="Q120" i="8" s="1"/>
  <c r="R119" i="8"/>
  <c r="Q119" i="8" s="1"/>
  <c r="R118" i="8"/>
  <c r="Q118" i="8" s="1"/>
  <c r="R117" i="8"/>
  <c r="Q117" i="8" s="1"/>
  <c r="R116" i="8"/>
  <c r="Q116" i="8" s="1"/>
  <c r="R115" i="8"/>
  <c r="Q115" i="8" s="1"/>
  <c r="G254" i="37" l="1"/>
  <c r="G109" i="37" s="1"/>
  <c r="F109" i="37" s="1"/>
  <c r="F102" i="41"/>
  <c r="G113" i="41"/>
  <c r="F113" i="41" s="1"/>
  <c r="S135" i="8"/>
  <c r="S136" i="8" s="1"/>
  <c r="T135" i="8"/>
  <c r="T136" i="8" s="1"/>
  <c r="V1" i="32"/>
  <c r="G108" i="37" l="1"/>
  <c r="G102" i="37"/>
  <c r="F108" i="37"/>
  <c r="R25" i="32"/>
  <c r="Q25" i="32" s="1"/>
  <c r="R24" i="32"/>
  <c r="Q24" i="32" s="1"/>
  <c r="R23" i="32"/>
  <c r="Q23" i="32" s="1"/>
  <c r="R22" i="32"/>
  <c r="Q22" i="32" s="1"/>
  <c r="R21" i="32"/>
  <c r="Q21" i="32" s="1"/>
  <c r="R20" i="32"/>
  <c r="Q20" i="32" s="1"/>
  <c r="R19" i="32"/>
  <c r="Q19" i="32" s="1"/>
  <c r="R18" i="32"/>
  <c r="Q18" i="32" s="1"/>
  <c r="R17" i="32"/>
  <c r="Q17" i="32" s="1"/>
  <c r="R16" i="32"/>
  <c r="Q16" i="32" s="1"/>
  <c r="R15" i="32"/>
  <c r="Q15" i="32" s="1"/>
  <c r="R14" i="32"/>
  <c r="Q14" i="32" s="1"/>
  <c r="R13" i="32"/>
  <c r="Q13" i="32" s="1"/>
  <c r="R12" i="32"/>
  <c r="Q12" i="32" s="1"/>
  <c r="R11" i="32"/>
  <c r="Q11" i="32" s="1"/>
  <c r="R10" i="32"/>
  <c r="Q10" i="32" s="1"/>
  <c r="R9" i="32"/>
  <c r="S9" i="32" s="1"/>
  <c r="R8" i="32"/>
  <c r="Q8" i="32" s="1"/>
  <c r="R6" i="32"/>
  <c r="Q6" i="32" s="1"/>
  <c r="G113" i="37" l="1"/>
  <c r="F113" i="37" s="1"/>
  <c r="F102" i="37"/>
  <c r="S26" i="32"/>
  <c r="T26" i="32"/>
  <c r="S27" i="32"/>
  <c r="T27" i="32"/>
  <c r="Q7" i="32" l="1"/>
  <c r="Q9" i="32"/>
  <c r="I21" i="31"/>
  <c r="N4" i="3"/>
  <c r="O4" i="3" s="1"/>
  <c r="N105" i="8"/>
  <c r="O105" i="8" s="1"/>
  <c r="N104" i="8"/>
  <c r="O104" i="8" s="1"/>
  <c r="N103" i="8"/>
  <c r="O103" i="8" s="1"/>
  <c r="N102" i="8"/>
  <c r="O102" i="8" s="1"/>
  <c r="N101" i="8"/>
  <c r="O101" i="8" s="1"/>
  <c r="N100" i="8"/>
  <c r="O100" i="8" s="1"/>
  <c r="N99" i="8"/>
  <c r="O99" i="8" s="1"/>
  <c r="N98" i="8"/>
  <c r="O98" i="8" s="1"/>
  <c r="N97" i="8"/>
  <c r="O97" i="8" s="1"/>
  <c r="N96" i="8"/>
  <c r="O96" i="8" s="1"/>
  <c r="N95" i="8"/>
  <c r="O95" i="8" s="1"/>
  <c r="N94" i="8"/>
  <c r="O94" i="8" s="1"/>
  <c r="N93" i="8"/>
  <c r="O93" i="8" s="1"/>
  <c r="N92" i="8"/>
  <c r="O92" i="8" s="1"/>
  <c r="N91" i="8"/>
  <c r="O91" i="8" s="1"/>
  <c r="N90" i="8"/>
  <c r="O90" i="8" s="1"/>
  <c r="N89" i="8"/>
  <c r="O89" i="8" s="1"/>
  <c r="N88" i="8"/>
  <c r="O88" i="8" s="1"/>
  <c r="N87" i="8"/>
  <c r="O87" i="8" s="1"/>
  <c r="N86" i="8"/>
  <c r="O86" i="8" s="1"/>
  <c r="N85" i="8"/>
  <c r="O85" i="8" s="1"/>
  <c r="N84" i="8"/>
  <c r="O84" i="8" s="1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N136" i="8"/>
  <c r="H2" i="8"/>
  <c r="H14" i="8"/>
  <c r="P94" i="6"/>
  <c r="M94" i="6" s="1"/>
  <c r="Q94" i="6"/>
  <c r="N94" i="6" s="1"/>
  <c r="C12" i="7"/>
  <c r="C13" i="7"/>
  <c r="H21" i="8"/>
  <c r="H2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F72" i="8"/>
  <c r="N72" i="8" s="1"/>
  <c r="H72" i="8"/>
  <c r="M72" i="8"/>
  <c r="I76" i="8"/>
  <c r="O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D106" i="8"/>
  <c r="N107" i="8"/>
  <c r="O107" i="8"/>
  <c r="D26" i="3"/>
  <c r="M48" i="9"/>
  <c r="I16" i="9"/>
  <c r="I22" i="9" s="1"/>
  <c r="C5" i="9"/>
  <c r="F25" i="9"/>
  <c r="N25" i="9" s="1"/>
  <c r="M25" i="9"/>
  <c r="F25" i="31"/>
  <c r="F48" i="31" s="1"/>
  <c r="N48" i="31" s="1"/>
  <c r="M48" i="31"/>
  <c r="M25" i="31"/>
  <c r="BA29" i="31"/>
  <c r="BA30" i="31"/>
  <c r="BA31" i="31"/>
  <c r="BA32" i="31"/>
  <c r="BA33" i="31"/>
  <c r="BA34" i="31"/>
  <c r="BA35" i="31"/>
  <c r="BA36" i="31"/>
  <c r="BA37" i="31"/>
  <c r="BA38" i="31"/>
  <c r="BA39" i="31"/>
  <c r="BA40" i="31"/>
  <c r="BA41" i="31"/>
  <c r="BA42" i="31"/>
  <c r="BA43" i="31"/>
  <c r="BA44" i="31"/>
  <c r="BA45" i="31"/>
  <c r="BA46" i="31"/>
  <c r="AZ29" i="31"/>
  <c r="AZ30" i="31"/>
  <c r="AZ31" i="31"/>
  <c r="AZ32" i="31"/>
  <c r="AZ33" i="31"/>
  <c r="AZ34" i="31"/>
  <c r="AZ35" i="31"/>
  <c r="AZ36" i="31"/>
  <c r="AZ37" i="31"/>
  <c r="AZ38" i="31"/>
  <c r="AZ39" i="31"/>
  <c r="AZ40" i="31"/>
  <c r="AZ41" i="31"/>
  <c r="AZ42" i="31"/>
  <c r="AZ43" i="31"/>
  <c r="AZ44" i="31"/>
  <c r="AZ45" i="31"/>
  <c r="AZ4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3" i="31"/>
  <c r="AY44" i="31"/>
  <c r="AY45" i="31"/>
  <c r="AY46" i="31"/>
  <c r="AX29" i="31"/>
  <c r="AX30" i="31"/>
  <c r="AX31" i="31"/>
  <c r="AX32" i="31"/>
  <c r="AX33" i="31"/>
  <c r="AX34" i="31"/>
  <c r="AX35" i="31"/>
  <c r="AX36" i="31"/>
  <c r="AX37" i="31"/>
  <c r="AX38" i="31"/>
  <c r="AX39" i="31"/>
  <c r="AX40" i="31"/>
  <c r="AX41" i="31"/>
  <c r="AX42" i="31"/>
  <c r="AX43" i="31"/>
  <c r="AX44" i="31"/>
  <c r="AX45" i="31"/>
  <c r="AX46" i="31"/>
  <c r="AW29" i="31"/>
  <c r="AW30" i="31"/>
  <c r="AW31" i="31"/>
  <c r="AW32" i="31"/>
  <c r="AW33" i="31"/>
  <c r="AW34" i="31"/>
  <c r="AW35" i="31"/>
  <c r="AW36" i="31"/>
  <c r="AW37" i="31"/>
  <c r="AW38" i="31"/>
  <c r="AW39" i="31"/>
  <c r="AW40" i="31"/>
  <c r="AW41" i="31"/>
  <c r="AW42" i="31"/>
  <c r="AW43" i="31"/>
  <c r="AW44" i="31"/>
  <c r="AW45" i="31"/>
  <c r="AW46" i="31"/>
  <c r="AV29" i="31"/>
  <c r="AV30" i="31"/>
  <c r="AV31" i="31"/>
  <c r="AV32" i="31"/>
  <c r="AV33" i="31"/>
  <c r="AV34" i="31"/>
  <c r="AV35" i="31"/>
  <c r="AV36" i="31"/>
  <c r="AV37" i="31"/>
  <c r="AV38" i="31"/>
  <c r="AV39" i="31"/>
  <c r="AV40" i="31"/>
  <c r="AV41" i="31"/>
  <c r="AV42" i="31"/>
  <c r="AV43" i="31"/>
  <c r="AV44" i="31"/>
  <c r="AV45" i="31"/>
  <c r="AV46" i="31"/>
  <c r="AU29" i="31"/>
  <c r="AU30" i="31"/>
  <c r="AU31" i="31"/>
  <c r="AU32" i="31"/>
  <c r="AU33" i="31"/>
  <c r="AU34" i="31"/>
  <c r="AU35" i="31"/>
  <c r="AU36" i="31"/>
  <c r="AU37" i="31"/>
  <c r="AU38" i="31"/>
  <c r="AU39" i="31"/>
  <c r="AU40" i="31"/>
  <c r="AU41" i="31"/>
  <c r="AU42" i="31"/>
  <c r="AU43" i="31"/>
  <c r="AU44" i="31"/>
  <c r="AU45" i="31"/>
  <c r="AU46" i="31"/>
  <c r="AT29" i="31"/>
  <c r="AT30" i="31"/>
  <c r="AT31" i="31"/>
  <c r="AT32" i="31"/>
  <c r="AT33" i="31"/>
  <c r="AT34" i="31"/>
  <c r="AT35" i="31"/>
  <c r="AT36" i="31"/>
  <c r="AT37" i="31"/>
  <c r="AT38" i="31"/>
  <c r="AT39" i="31"/>
  <c r="AT40" i="31"/>
  <c r="AT41" i="31"/>
  <c r="AT42" i="31"/>
  <c r="AT43" i="31"/>
  <c r="AT44" i="31"/>
  <c r="AT45" i="31"/>
  <c r="AT46" i="31"/>
  <c r="AS29" i="31"/>
  <c r="AS30" i="31"/>
  <c r="AS31" i="31"/>
  <c r="AS32" i="31"/>
  <c r="AS33" i="31"/>
  <c r="AS34" i="31"/>
  <c r="AS35" i="31"/>
  <c r="AS36" i="31"/>
  <c r="AS37" i="31"/>
  <c r="AS38" i="31"/>
  <c r="AS39" i="31"/>
  <c r="AS40" i="31"/>
  <c r="AS41" i="31"/>
  <c r="AS42" i="31"/>
  <c r="AS43" i="31"/>
  <c r="AS44" i="31"/>
  <c r="AS45" i="31"/>
  <c r="AS46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Q29" i="31"/>
  <c r="AQ30" i="31"/>
  <c r="AQ31" i="31"/>
  <c r="AQ32" i="31"/>
  <c r="AQ33" i="31"/>
  <c r="AQ34" i="31"/>
  <c r="AQ35" i="31"/>
  <c r="AQ36" i="31"/>
  <c r="AQ37" i="31"/>
  <c r="AQ38" i="31"/>
  <c r="AQ39" i="31"/>
  <c r="AQ40" i="31"/>
  <c r="AQ41" i="31"/>
  <c r="AQ42" i="31"/>
  <c r="AQ43" i="31"/>
  <c r="AQ44" i="31"/>
  <c r="AQ45" i="31"/>
  <c r="AQ46" i="31"/>
  <c r="AP29" i="31"/>
  <c r="AP30" i="31"/>
  <c r="AP31" i="31"/>
  <c r="AP32" i="31"/>
  <c r="AP33" i="31"/>
  <c r="AP34" i="31"/>
  <c r="AP35" i="31"/>
  <c r="AP36" i="31"/>
  <c r="AP37" i="31"/>
  <c r="AP38" i="31"/>
  <c r="AP39" i="31"/>
  <c r="AP40" i="31"/>
  <c r="AP41" i="31"/>
  <c r="AP42" i="31"/>
  <c r="AP43" i="31"/>
  <c r="AP44" i="31"/>
  <c r="AP45" i="31"/>
  <c r="AP46" i="31"/>
  <c r="AO29" i="31"/>
  <c r="AO30" i="31"/>
  <c r="AO31" i="31"/>
  <c r="AO32" i="31"/>
  <c r="AO33" i="31"/>
  <c r="AO34" i="31"/>
  <c r="AO35" i="31"/>
  <c r="AO36" i="31"/>
  <c r="AO37" i="31"/>
  <c r="AO38" i="31"/>
  <c r="AO39" i="31"/>
  <c r="AO40" i="31"/>
  <c r="AO41" i="31"/>
  <c r="AO42" i="31"/>
  <c r="AO43" i="31"/>
  <c r="AO44" i="31"/>
  <c r="AO45" i="31"/>
  <c r="AO46" i="31"/>
  <c r="AN29" i="31"/>
  <c r="AN30" i="31"/>
  <c r="AN31" i="31"/>
  <c r="AN32" i="31"/>
  <c r="AN33" i="31"/>
  <c r="AN34" i="31"/>
  <c r="AN35" i="31"/>
  <c r="AN36" i="31"/>
  <c r="AN37" i="31"/>
  <c r="AN38" i="31"/>
  <c r="AN39" i="31"/>
  <c r="AN40" i="31"/>
  <c r="AN41" i="31"/>
  <c r="AN42" i="31"/>
  <c r="AN43" i="31"/>
  <c r="AN44" i="31"/>
  <c r="AN45" i="31"/>
  <c r="AN46" i="31"/>
  <c r="AM29" i="31"/>
  <c r="AM30" i="31"/>
  <c r="AM31" i="31"/>
  <c r="AM32" i="31"/>
  <c r="AM33" i="31"/>
  <c r="AM34" i="31"/>
  <c r="AM35" i="31"/>
  <c r="AM36" i="31"/>
  <c r="AM37" i="31"/>
  <c r="AM38" i="31"/>
  <c r="AM39" i="31"/>
  <c r="AM40" i="31"/>
  <c r="AM41" i="31"/>
  <c r="AM42" i="31"/>
  <c r="AM43" i="31"/>
  <c r="AM44" i="31"/>
  <c r="AM45" i="31"/>
  <c r="AM46" i="31"/>
  <c r="AL29" i="31"/>
  <c r="AL30" i="31"/>
  <c r="AL31" i="31"/>
  <c r="AL32" i="31"/>
  <c r="AL33" i="31"/>
  <c r="AL34" i="31"/>
  <c r="AL35" i="31"/>
  <c r="AL36" i="31"/>
  <c r="AL37" i="31"/>
  <c r="AL38" i="31"/>
  <c r="AL39" i="31"/>
  <c r="AL40" i="31"/>
  <c r="AL41" i="31"/>
  <c r="AL42" i="31"/>
  <c r="AL43" i="31"/>
  <c r="AL44" i="31"/>
  <c r="AL45" i="31"/>
  <c r="AL46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J29" i="31"/>
  <c r="AJ30" i="31"/>
  <c r="AJ31" i="31"/>
  <c r="AJ32" i="31"/>
  <c r="AJ33" i="31"/>
  <c r="AJ34" i="31"/>
  <c r="AJ35" i="31"/>
  <c r="AJ36" i="31"/>
  <c r="AJ37" i="31"/>
  <c r="AJ38" i="31"/>
  <c r="AJ39" i="31"/>
  <c r="AJ40" i="31"/>
  <c r="AJ41" i="31"/>
  <c r="AJ42" i="31"/>
  <c r="AJ43" i="31"/>
  <c r="AJ44" i="31"/>
  <c r="AJ45" i="31"/>
  <c r="AJ46" i="31"/>
  <c r="AI29" i="31"/>
  <c r="AI30" i="31"/>
  <c r="AI31" i="31"/>
  <c r="AI32" i="31"/>
  <c r="AI33" i="31"/>
  <c r="AI34" i="31"/>
  <c r="AI35" i="31"/>
  <c r="AI36" i="31"/>
  <c r="AI37" i="31"/>
  <c r="AI38" i="31"/>
  <c r="AI39" i="31"/>
  <c r="AI40" i="31"/>
  <c r="AI41" i="31"/>
  <c r="AI42" i="31"/>
  <c r="AI43" i="31"/>
  <c r="AI44" i="31"/>
  <c r="AI45" i="31"/>
  <c r="AI46" i="31"/>
  <c r="AZ6" i="31"/>
  <c r="AZ7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BA6" i="31"/>
  <c r="BA7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AY6" i="31"/>
  <c r="AY7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X6" i="31"/>
  <c r="AX7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W6" i="31"/>
  <c r="AW7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V6" i="31"/>
  <c r="AV7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U6" i="31"/>
  <c r="AU7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T6" i="31"/>
  <c r="AT7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S6" i="31"/>
  <c r="AS7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R6" i="31"/>
  <c r="AR7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Q6" i="31"/>
  <c r="AQ7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P6" i="31"/>
  <c r="AP7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O6" i="31"/>
  <c r="AO7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M6" i="31"/>
  <c r="AM7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L6" i="31"/>
  <c r="AL7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J6" i="31"/>
  <c r="AJ7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23" i="31"/>
  <c r="I22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N25" i="31"/>
  <c r="F13" i="7"/>
  <c r="E13" i="7"/>
  <c r="D13" i="7"/>
  <c r="F12" i="7"/>
  <c r="E12" i="7"/>
  <c r="D12" i="7"/>
  <c r="AV47" i="31" l="1"/>
  <c r="AB47" i="31" s="1"/>
  <c r="AA13" i="7" s="1"/>
  <c r="F2" i="33"/>
  <c r="F25" i="33" s="1"/>
  <c r="AL47" i="31"/>
  <c r="R47" i="31" s="1"/>
  <c r="Q13" i="7" s="1"/>
  <c r="AN47" i="31"/>
  <c r="T47" i="31" s="1"/>
  <c r="S13" i="7" s="1"/>
  <c r="AJ47" i="31"/>
  <c r="P47" i="31" s="1"/>
  <c r="O13" i="7" s="1"/>
  <c r="M106" i="8"/>
  <c r="AI24" i="31"/>
  <c r="O24" i="31" s="1"/>
  <c r="N12" i="7" s="1"/>
  <c r="AX47" i="31"/>
  <c r="AD47" i="31" s="1"/>
  <c r="AC13" i="7" s="1"/>
  <c r="F48" i="9"/>
  <c r="I106" i="8"/>
  <c r="AM24" i="31"/>
  <c r="S24" i="31" s="1"/>
  <c r="R12" i="7" s="1"/>
  <c r="AX24" i="31"/>
  <c r="AD24" i="31" s="1"/>
  <c r="AC12" i="7" s="1"/>
  <c r="AZ24" i="31"/>
  <c r="AF24" i="31" s="1"/>
  <c r="AE12" i="7" s="1"/>
  <c r="AR47" i="31"/>
  <c r="X47" i="31" s="1"/>
  <c r="W13" i="7" s="1"/>
  <c r="AT47" i="31"/>
  <c r="Z47" i="31" s="1"/>
  <c r="Y13" i="7" s="1"/>
  <c r="I47" i="31"/>
  <c r="H13" i="7" s="1"/>
  <c r="AP47" i="31"/>
  <c r="V47" i="31" s="1"/>
  <c r="U13" i="7" s="1"/>
  <c r="AZ47" i="31"/>
  <c r="AF47" i="31" s="1"/>
  <c r="AE13" i="7" s="1"/>
  <c r="M26" i="3"/>
  <c r="K26" i="3"/>
  <c r="I26" i="3"/>
  <c r="AM47" i="31"/>
  <c r="S47" i="31" s="1"/>
  <c r="R13" i="7" s="1"/>
  <c r="AU47" i="31"/>
  <c r="AA47" i="31" s="1"/>
  <c r="Z13" i="7" s="1"/>
  <c r="I71" i="8"/>
  <c r="AJ24" i="31"/>
  <c r="P24" i="31" s="1"/>
  <c r="O12" i="7" s="1"/>
  <c r="AL24" i="31"/>
  <c r="R24" i="31" s="1"/>
  <c r="Q12" i="7" s="1"/>
  <c r="AN24" i="31"/>
  <c r="T24" i="31" s="1"/>
  <c r="S12" i="7" s="1"/>
  <c r="AO24" i="31"/>
  <c r="U24" i="31" s="1"/>
  <c r="T12" i="7" s="1"/>
  <c r="AP24" i="31"/>
  <c r="V24" i="31" s="1"/>
  <c r="U12" i="7" s="1"/>
  <c r="AQ24" i="31"/>
  <c r="W24" i="31" s="1"/>
  <c r="V12" i="7" s="1"/>
  <c r="AR24" i="31"/>
  <c r="X24" i="31" s="1"/>
  <c r="W12" i="7" s="1"/>
  <c r="AS24" i="31"/>
  <c r="Y24" i="31" s="1"/>
  <c r="X12" i="7" s="1"/>
  <c r="AT24" i="31"/>
  <c r="Z24" i="31" s="1"/>
  <c r="Y12" i="7" s="1"/>
  <c r="AU24" i="31"/>
  <c r="AA24" i="31" s="1"/>
  <c r="Z12" i="7" s="1"/>
  <c r="AV24" i="31"/>
  <c r="AB24" i="31" s="1"/>
  <c r="AA12" i="7" s="1"/>
  <c r="AW24" i="31"/>
  <c r="AC24" i="31" s="1"/>
  <c r="AB12" i="7" s="1"/>
  <c r="AY24" i="31"/>
  <c r="AE24" i="31" s="1"/>
  <c r="AD12" i="7" s="1"/>
  <c r="BA24" i="31"/>
  <c r="AG24" i="31" s="1"/>
  <c r="AF12" i="7" s="1"/>
  <c r="AI47" i="31"/>
  <c r="O47" i="31" s="1"/>
  <c r="N13" i="7" s="1"/>
  <c r="AQ47" i="31"/>
  <c r="W47" i="31" s="1"/>
  <c r="V13" i="7" s="1"/>
  <c r="AY47" i="31"/>
  <c r="AE47" i="31" s="1"/>
  <c r="AD13" i="7" s="1"/>
  <c r="K106" i="8"/>
  <c r="AK47" i="31"/>
  <c r="Q47" i="31" s="1"/>
  <c r="P13" i="7" s="1"/>
  <c r="AS47" i="31"/>
  <c r="Y47" i="31" s="1"/>
  <c r="X13" i="7" s="1"/>
  <c r="BA47" i="31"/>
  <c r="AG47" i="31" s="1"/>
  <c r="AF13" i="7" s="1"/>
  <c r="I24" i="31"/>
  <c r="H12" i="7" s="1"/>
  <c r="AK24" i="31"/>
  <c r="Q24" i="31" s="1"/>
  <c r="P12" i="7" s="1"/>
  <c r="AO47" i="31"/>
  <c r="U47" i="31" s="1"/>
  <c r="T13" i="7" s="1"/>
  <c r="AW47" i="31"/>
  <c r="AC47" i="31" s="1"/>
  <c r="AB13" i="7" s="1"/>
  <c r="J2" i="31"/>
  <c r="H25" i="31" s="1"/>
  <c r="H48" i="31" s="1"/>
  <c r="H20" i="8"/>
  <c r="O106" i="8" l="1"/>
  <c r="N82" i="8" s="1"/>
  <c r="N48" i="9"/>
  <c r="F71" i="9"/>
  <c r="N71" i="9" s="1"/>
  <c r="I80" i="3"/>
  <c r="I107" i="3" s="1"/>
  <c r="O107" i="3" s="1"/>
  <c r="N83" i="3" s="1"/>
  <c r="I53" i="3"/>
  <c r="K80" i="3"/>
  <c r="K107" i="3" s="1"/>
  <c r="K53" i="3"/>
  <c r="M80" i="3"/>
  <c r="M107" i="3" s="1"/>
  <c r="M53" i="3"/>
  <c r="N25" i="33"/>
  <c r="J2" i="9" l="1"/>
  <c r="J16" i="9"/>
  <c r="K16" i="9"/>
  <c r="F2" i="1"/>
  <c r="J2" i="33"/>
  <c r="N95" i="3" l="1"/>
  <c r="O95" i="3" s="1"/>
  <c r="H78" i="43" s="1"/>
  <c r="I78" i="43" s="1"/>
  <c r="N56" i="3"/>
  <c r="N76" i="3" s="1"/>
  <c r="O76" i="3" s="1"/>
  <c r="H99" i="42" s="1"/>
  <c r="I99" i="42" s="1"/>
  <c r="I116" i="42" s="1"/>
  <c r="I8" i="42" s="1"/>
  <c r="N86" i="3"/>
  <c r="O86" i="3" s="1"/>
  <c r="H99" i="43" s="1"/>
  <c r="I99" i="43" s="1"/>
  <c r="I16" i="1"/>
  <c r="G14" i="41" s="1"/>
  <c r="F25" i="1"/>
  <c r="F48" i="1" s="1"/>
  <c r="N59" i="3" l="1"/>
  <c r="O59" i="3" s="1"/>
  <c r="H54" i="42" s="1"/>
  <c r="I54" i="42" s="1"/>
  <c r="N29" i="3"/>
  <c r="N68" i="3"/>
  <c r="O68" i="3" s="1"/>
  <c r="H63" i="42" s="1"/>
  <c r="I63" i="42" s="1"/>
  <c r="N48" i="1"/>
  <c r="F71" i="1"/>
  <c r="N71" i="1" s="1"/>
  <c r="G308" i="41"/>
  <c r="G27" i="41"/>
  <c r="G334" i="41" s="1"/>
  <c r="G18" i="41"/>
  <c r="G14" i="37"/>
  <c r="H5" i="35" s="1"/>
  <c r="N25" i="1"/>
  <c r="N36" i="3" l="1"/>
  <c r="O36" i="3" s="1"/>
  <c r="H67" i="34" s="1"/>
  <c r="I67" i="34" s="1"/>
  <c r="N35" i="3"/>
  <c r="O35" i="3" s="1"/>
  <c r="H66" i="34" s="1"/>
  <c r="I66" i="34" s="1"/>
  <c r="N34" i="3"/>
  <c r="O34" i="3" s="1"/>
  <c r="H65" i="34" s="1"/>
  <c r="I65" i="34" s="1"/>
  <c r="N2" i="3"/>
  <c r="N19" i="3" s="1"/>
  <c r="O19" i="3" s="1"/>
  <c r="H114" i="43" s="1"/>
  <c r="I114" i="43" s="1"/>
  <c r="N33" i="3"/>
  <c r="O33" i="3" s="1"/>
  <c r="H64" i="34" s="1"/>
  <c r="I64" i="34" s="1"/>
  <c r="G43" i="37"/>
  <c r="G18" i="37" s="1"/>
  <c r="G308" i="37"/>
  <c r="G359" i="41"/>
  <c r="G357" i="41"/>
  <c r="N15" i="3" l="1"/>
  <c r="O15" i="3" s="1"/>
  <c r="H110" i="43" s="1"/>
  <c r="I110" i="43" s="1"/>
  <c r="N18" i="3"/>
  <c r="O18" i="3" s="1"/>
  <c r="H113" i="43" s="1"/>
  <c r="I113" i="43" s="1"/>
  <c r="N17" i="3"/>
  <c r="O17" i="3" s="1"/>
  <c r="H112" i="43" s="1"/>
  <c r="I112" i="43" s="1"/>
  <c r="N16" i="3"/>
  <c r="O16" i="3" s="1"/>
  <c r="H111" i="43" s="1"/>
  <c r="I111" i="43" s="1"/>
  <c r="N5" i="3"/>
  <c r="O5" i="3" s="1"/>
  <c r="H76" i="42" s="1"/>
  <c r="I76" i="42" s="1"/>
  <c r="N6" i="3"/>
  <c r="O6" i="3" s="1"/>
  <c r="H77" i="42" s="1"/>
  <c r="I77" i="42" s="1"/>
  <c r="Q1" i="3"/>
  <c r="N12" i="3"/>
  <c r="O12" i="3" s="1"/>
  <c r="N13" i="3"/>
  <c r="O13" i="3" s="1"/>
  <c r="N14" i="3"/>
  <c r="O14" i="3" s="1"/>
  <c r="N7" i="3"/>
  <c r="O7" i="3" s="1"/>
  <c r="H78" i="42" s="1"/>
  <c r="I78" i="42" s="1"/>
  <c r="N10" i="3"/>
  <c r="O10" i="3" s="1"/>
  <c r="H81" i="42" s="1"/>
  <c r="I81" i="42" s="1"/>
  <c r="N8" i="3"/>
  <c r="O8" i="3" s="1"/>
  <c r="H79" i="42" s="1"/>
  <c r="I79" i="42" s="1"/>
  <c r="N11" i="3"/>
  <c r="O11" i="3" s="1"/>
  <c r="N9" i="3"/>
  <c r="O9" i="3" s="1"/>
  <c r="H80" i="42" s="1"/>
  <c r="I80" i="42" s="1"/>
  <c r="G27" i="37"/>
  <c r="G334" i="37" s="1"/>
  <c r="G357" i="37" s="1"/>
  <c r="G350" i="37"/>
  <c r="G371" i="37" s="1"/>
  <c r="H8" i="35"/>
  <c r="G311" i="37" l="1"/>
  <c r="I93" i="43"/>
  <c r="H109" i="43"/>
  <c r="I109" i="43" s="1"/>
  <c r="I70" i="42"/>
  <c r="I93" i="42" s="1"/>
  <c r="I7" i="42" s="1"/>
  <c r="I16" i="42" s="1"/>
  <c r="H108" i="43"/>
  <c r="I108" i="43" s="1"/>
  <c r="G410" i="37"/>
  <c r="G430" i="37" s="1"/>
  <c r="I70" i="34"/>
  <c r="I7" i="34" s="1"/>
  <c r="I16" i="34" s="1"/>
  <c r="G397" i="37"/>
  <c r="G359" i="37"/>
  <c r="F94" i="1"/>
  <c r="G389" i="37"/>
  <c r="G309" i="37" l="1"/>
  <c r="I116" i="43"/>
  <c r="I8" i="43" s="1"/>
  <c r="I16" i="43" s="1"/>
  <c r="I14" i="40" s="1"/>
  <c r="I27" i="40" s="1"/>
  <c r="I334" i="40" s="1"/>
  <c r="I397" i="40" s="1"/>
  <c r="J14" i="41"/>
  <c r="L14" i="37"/>
  <c r="K5" i="35" s="1"/>
  <c r="K8" i="35" s="1"/>
  <c r="G14" i="40"/>
  <c r="N94" i="1"/>
  <c r="F117" i="1"/>
  <c r="F140" i="1" s="1"/>
  <c r="N140" i="1" s="1"/>
  <c r="G58" i="37"/>
  <c r="N117" i="1" l="1"/>
  <c r="J308" i="41"/>
  <c r="F308" i="41" s="1"/>
  <c r="J14" i="37"/>
  <c r="I5" i="35" s="1"/>
  <c r="I8" i="35" s="1"/>
  <c r="I357" i="40"/>
  <c r="I17" i="40"/>
  <c r="I359" i="40"/>
  <c r="N14" i="37"/>
  <c r="F14" i="37" s="1"/>
  <c r="I18" i="40"/>
  <c r="I308" i="40"/>
  <c r="I62" i="40"/>
  <c r="F14" i="41"/>
  <c r="J27" i="41"/>
  <c r="F27" i="41" s="1"/>
  <c r="J18" i="41"/>
  <c r="F18" i="41" s="1"/>
  <c r="G27" i="40"/>
  <c r="F14" i="40"/>
  <c r="G308" i="40"/>
  <c r="G62" i="40"/>
  <c r="G18" i="40"/>
  <c r="L308" i="37"/>
  <c r="L43" i="37"/>
  <c r="L350" i="37" s="1"/>
  <c r="I413" i="40"/>
  <c r="I417" i="40" s="1"/>
  <c r="I49" i="40" s="1"/>
  <c r="J8" i="35"/>
  <c r="F18" i="40" l="1"/>
  <c r="J308" i="37"/>
  <c r="J43" i="37"/>
  <c r="J18" i="37" s="1"/>
  <c r="N308" i="37"/>
  <c r="L5" i="35"/>
  <c r="L8" i="35" s="1"/>
  <c r="J334" i="41"/>
  <c r="F334" i="41" s="1"/>
  <c r="F308" i="40"/>
  <c r="N43" i="37"/>
  <c r="M8" i="35"/>
  <c r="L27" i="37"/>
  <c r="L334" i="37" s="1"/>
  <c r="L359" i="37" s="1"/>
  <c r="I414" i="40"/>
  <c r="I47" i="40" s="1"/>
  <c r="L18" i="37"/>
  <c r="L371" i="37"/>
  <c r="L389" i="37" s="1"/>
  <c r="L311" i="37"/>
  <c r="L410" i="37"/>
  <c r="G334" i="40"/>
  <c r="F27" i="40"/>
  <c r="J16" i="1"/>
  <c r="K16" i="1"/>
  <c r="H51" i="35"/>
  <c r="H81" i="35"/>
  <c r="H82" i="35"/>
  <c r="H85" i="35"/>
  <c r="H79" i="35"/>
  <c r="H49" i="35"/>
  <c r="H87" i="35"/>
  <c r="H86" i="35"/>
  <c r="H80" i="35"/>
  <c r="H89" i="35"/>
  <c r="H48" i="35"/>
  <c r="H83" i="35"/>
  <c r="H47" i="35"/>
  <c r="H88" i="35"/>
  <c r="H50" i="35"/>
  <c r="H78" i="35" l="1"/>
  <c r="H84" i="35"/>
  <c r="J2" i="1"/>
  <c r="F43" i="37"/>
  <c r="J350" i="37"/>
  <c r="J311" i="37" s="1"/>
  <c r="J27" i="37"/>
  <c r="J334" i="37" s="1"/>
  <c r="J357" i="37" s="1"/>
  <c r="F308" i="37"/>
  <c r="J359" i="41"/>
  <c r="F359" i="41" s="1"/>
  <c r="J357" i="41"/>
  <c r="F357" i="41" s="1"/>
  <c r="L486" i="41" s="1"/>
  <c r="J397" i="41"/>
  <c r="G8" i="35"/>
  <c r="G5" i="35"/>
  <c r="N350" i="37"/>
  <c r="N27" i="37"/>
  <c r="N334" i="37" s="1"/>
  <c r="N18" i="37"/>
  <c r="F18" i="37" s="1"/>
  <c r="L357" i="37"/>
  <c r="L397" i="37"/>
  <c r="G397" i="40"/>
  <c r="G357" i="40"/>
  <c r="F357" i="40" s="1"/>
  <c r="F334" i="40"/>
  <c r="G359" i="40"/>
  <c r="L309" i="37"/>
  <c r="L430" i="37"/>
  <c r="L58" i="37" s="1"/>
  <c r="L17" i="37"/>
  <c r="H13" i="35"/>
  <c r="H12" i="35"/>
  <c r="H91" i="35" l="1"/>
  <c r="H10" i="35"/>
  <c r="H9" i="35"/>
  <c r="H14" i="35"/>
  <c r="H11" i="35" s="1"/>
  <c r="F2" i="42"/>
  <c r="J359" i="37"/>
  <c r="J376" i="37" s="1"/>
  <c r="J377" i="37" s="1"/>
  <c r="J371" i="37"/>
  <c r="J389" i="37" s="1"/>
  <c r="F350" i="37"/>
  <c r="J410" i="37"/>
  <c r="F334" i="37"/>
  <c r="J397" i="37"/>
  <c r="M484" i="41"/>
  <c r="G487" i="41"/>
  <c r="H483" i="41"/>
  <c r="M478" i="41"/>
  <c r="M474" i="41"/>
  <c r="H476" i="41"/>
  <c r="K477" i="41"/>
  <c r="I475" i="41"/>
  <c r="H474" i="41"/>
  <c r="I484" i="41"/>
  <c r="K486" i="41"/>
  <c r="J476" i="41"/>
  <c r="N475" i="41"/>
  <c r="J485" i="41"/>
  <c r="G474" i="41"/>
  <c r="J477" i="41"/>
  <c r="N483" i="41"/>
  <c r="N474" i="41"/>
  <c r="L476" i="41"/>
  <c r="L475" i="41"/>
  <c r="N476" i="41"/>
  <c r="J484" i="41"/>
  <c r="L487" i="41"/>
  <c r="H477" i="41"/>
  <c r="G484" i="41"/>
  <c r="K483" i="41"/>
  <c r="J478" i="41"/>
  <c r="G476" i="41"/>
  <c r="K478" i="41"/>
  <c r="G475" i="41"/>
  <c r="L477" i="41"/>
  <c r="H484" i="41"/>
  <c r="I483" i="41"/>
  <c r="N478" i="41"/>
  <c r="K484" i="41"/>
  <c r="N477" i="41"/>
  <c r="I476" i="41"/>
  <c r="H478" i="41"/>
  <c r="L478" i="41"/>
  <c r="N486" i="41"/>
  <c r="J475" i="41"/>
  <c r="K476" i="41"/>
  <c r="L483" i="41"/>
  <c r="L488" i="41" s="1"/>
  <c r="L489" i="41" s="1"/>
  <c r="I487" i="41"/>
  <c r="I474" i="41"/>
  <c r="L474" i="41"/>
  <c r="K475" i="41"/>
  <c r="J483" i="41"/>
  <c r="M477" i="41"/>
  <c r="H485" i="41"/>
  <c r="I485" i="41"/>
  <c r="K485" i="41"/>
  <c r="N484" i="41"/>
  <c r="M483" i="41"/>
  <c r="G477" i="41"/>
  <c r="K474" i="41"/>
  <c r="H486" i="41"/>
  <c r="G485" i="41"/>
  <c r="L484" i="41"/>
  <c r="M476" i="41"/>
  <c r="M485" i="41"/>
  <c r="G478" i="41"/>
  <c r="I486" i="41"/>
  <c r="L485" i="41"/>
  <c r="N487" i="41"/>
  <c r="H475" i="41"/>
  <c r="N485" i="41"/>
  <c r="J474" i="41"/>
  <c r="G486" i="41"/>
  <c r="J487" i="41"/>
  <c r="H487" i="41"/>
  <c r="M475" i="41"/>
  <c r="G483" i="41"/>
  <c r="K487" i="41"/>
  <c r="J486" i="41"/>
  <c r="M486" i="41"/>
  <c r="I477" i="41"/>
  <c r="I478" i="41"/>
  <c r="M487" i="41"/>
  <c r="F27" i="37"/>
  <c r="N311" i="37"/>
  <c r="N371" i="37"/>
  <c r="N410" i="37"/>
  <c r="N359" i="37"/>
  <c r="N397" i="37"/>
  <c r="N357" i="37"/>
  <c r="F357" i="37" s="1"/>
  <c r="F359" i="40"/>
  <c r="G476" i="40"/>
  <c r="G477" i="40"/>
  <c r="K477" i="40"/>
  <c r="J487" i="40"/>
  <c r="M487" i="40"/>
  <c r="J478" i="40"/>
  <c r="K484" i="40"/>
  <c r="N486" i="40"/>
  <c r="J475" i="40"/>
  <c r="M475" i="40"/>
  <c r="I484" i="40"/>
  <c r="J476" i="40"/>
  <c r="N474" i="40"/>
  <c r="I477" i="40"/>
  <c r="L477" i="40"/>
  <c r="H486" i="40"/>
  <c r="I478" i="40"/>
  <c r="M476" i="40"/>
  <c r="H483" i="40"/>
  <c r="K476" i="40"/>
  <c r="L478" i="40"/>
  <c r="G474" i="40"/>
  <c r="N484" i="40"/>
  <c r="N483" i="40"/>
  <c r="J486" i="40"/>
  <c r="I475" i="40"/>
  <c r="N477" i="40"/>
  <c r="H477" i="40"/>
  <c r="I476" i="40"/>
  <c r="L485" i="40"/>
  <c r="J483" i="40"/>
  <c r="K478" i="40"/>
  <c r="H487" i="40"/>
  <c r="N487" i="40"/>
  <c r="H474" i="40"/>
  <c r="H484" i="40"/>
  <c r="K485" i="40"/>
  <c r="J485" i="40"/>
  <c r="G475" i="40"/>
  <c r="K483" i="40"/>
  <c r="I487" i="40"/>
  <c r="K475" i="40"/>
  <c r="M486" i="40"/>
  <c r="M485" i="40"/>
  <c r="J474" i="40"/>
  <c r="K474" i="40"/>
  <c r="G487" i="40"/>
  <c r="J484" i="40"/>
  <c r="H475" i="40"/>
  <c r="L487" i="40"/>
  <c r="M483" i="40"/>
  <c r="L476" i="40"/>
  <c r="H478" i="40"/>
  <c r="G486" i="40"/>
  <c r="K486" i="40"/>
  <c r="N478" i="40"/>
  <c r="G478" i="40"/>
  <c r="J477" i="40"/>
  <c r="N475" i="40"/>
  <c r="I474" i="40"/>
  <c r="M484" i="40"/>
  <c r="N476" i="40"/>
  <c r="I483" i="40"/>
  <c r="M477" i="40"/>
  <c r="H476" i="40"/>
  <c r="L486" i="40"/>
  <c r="M478" i="40"/>
  <c r="H485" i="40"/>
  <c r="L483" i="40"/>
  <c r="G485" i="40"/>
  <c r="L474" i="40"/>
  <c r="L484" i="40"/>
  <c r="G484" i="40"/>
  <c r="K487" i="40"/>
  <c r="N485" i="40"/>
  <c r="M474" i="40"/>
  <c r="L475" i="40"/>
  <c r="G483" i="40"/>
  <c r="G488" i="40" s="1"/>
  <c r="G489" i="40" s="1"/>
  <c r="G376" i="40" s="1"/>
  <c r="G379" i="40" s="1"/>
  <c r="I485" i="40"/>
  <c r="I486" i="40"/>
  <c r="F397" i="40"/>
  <c r="G413" i="40"/>
  <c r="G417" i="40" s="1"/>
  <c r="G488" i="41" l="1"/>
  <c r="G489" i="41" s="1"/>
  <c r="G376" i="41" s="1"/>
  <c r="G379" i="41" s="1"/>
  <c r="F410" i="37"/>
  <c r="H27" i="35"/>
  <c r="F359" i="37"/>
  <c r="F397" i="37"/>
  <c r="J479" i="41"/>
  <c r="J480" i="41" s="1"/>
  <c r="J309" i="37"/>
  <c r="J430" i="37"/>
  <c r="J58" i="37" s="1"/>
  <c r="M479" i="41"/>
  <c r="M480" i="41" s="1"/>
  <c r="I479" i="41"/>
  <c r="I480" i="41" s="1"/>
  <c r="G479" i="41"/>
  <c r="G480" i="41" s="1"/>
  <c r="G374" i="41" s="1"/>
  <c r="G375" i="41" s="1"/>
  <c r="F375" i="41" s="1"/>
  <c r="L479" i="41"/>
  <c r="L480" i="41" s="1"/>
  <c r="K488" i="41"/>
  <c r="K489" i="41" s="1"/>
  <c r="K376" i="41" s="1"/>
  <c r="K377" i="41" s="1"/>
  <c r="K398" i="41" s="1"/>
  <c r="J488" i="41"/>
  <c r="J489" i="41" s="1"/>
  <c r="J376" i="41" s="1"/>
  <c r="J379" i="41" s="1"/>
  <c r="J400" i="41" s="1"/>
  <c r="N488" i="41"/>
  <c r="N489" i="41" s="1"/>
  <c r="H479" i="41"/>
  <c r="H480" i="41" s="1"/>
  <c r="N479" i="41"/>
  <c r="N480" i="41" s="1"/>
  <c r="H488" i="41"/>
  <c r="H489" i="41" s="1"/>
  <c r="H376" i="41" s="1"/>
  <c r="H377" i="41" s="1"/>
  <c r="H398" i="41" s="1"/>
  <c r="I488" i="41"/>
  <c r="I489" i="41" s="1"/>
  <c r="I376" i="41" s="1"/>
  <c r="I379" i="41" s="1"/>
  <c r="I400" i="41" s="1"/>
  <c r="M488" i="41"/>
  <c r="M489" i="41" s="1"/>
  <c r="K479" i="41"/>
  <c r="K480" i="41" s="1"/>
  <c r="Q487" i="37"/>
  <c r="M485" i="37"/>
  <c r="O476" i="37"/>
  <c r="Q483" i="37"/>
  <c r="I487" i="37"/>
  <c r="H475" i="37"/>
  <c r="J485" i="37"/>
  <c r="L483" i="37"/>
  <c r="P474" i="37"/>
  <c r="K484" i="37"/>
  <c r="K474" i="37"/>
  <c r="I485" i="37"/>
  <c r="Q486" i="37"/>
  <c r="O483" i="37"/>
  <c r="O487" i="37"/>
  <c r="J478" i="37"/>
  <c r="L477" i="37"/>
  <c r="N475" i="37"/>
  <c r="H483" i="37"/>
  <c r="P476" i="37"/>
  <c r="Q474" i="37"/>
  <c r="L474" i="37"/>
  <c r="P475" i="37"/>
  <c r="O477" i="37"/>
  <c r="J476" i="37"/>
  <c r="M487" i="37"/>
  <c r="O486" i="37"/>
  <c r="P486" i="37"/>
  <c r="Q478" i="37"/>
  <c r="N476" i="37"/>
  <c r="J484" i="37"/>
  <c r="J487" i="37"/>
  <c r="I484" i="37"/>
  <c r="Q484" i="37"/>
  <c r="L486" i="37"/>
  <c r="I476" i="37"/>
  <c r="G483" i="37"/>
  <c r="L487" i="37"/>
  <c r="M478" i="37"/>
  <c r="O475" i="37"/>
  <c r="L484" i="37"/>
  <c r="G486" i="37"/>
  <c r="K475" i="37"/>
  <c r="K486" i="37"/>
  <c r="O478" i="37"/>
  <c r="G477" i="37"/>
  <c r="L476" i="37"/>
  <c r="H484" i="37"/>
  <c r="K477" i="37"/>
  <c r="M483" i="37"/>
  <c r="P477" i="37"/>
  <c r="I477" i="37"/>
  <c r="O474" i="37"/>
  <c r="N486" i="37"/>
  <c r="K487" i="37"/>
  <c r="M474" i="37"/>
  <c r="N483" i="37"/>
  <c r="N485" i="37"/>
  <c r="J475" i="37"/>
  <c r="N478" i="37"/>
  <c r="I478" i="37"/>
  <c r="M486" i="37"/>
  <c r="O484" i="37"/>
  <c r="L475" i="37"/>
  <c r="J486" i="37"/>
  <c r="K476" i="37"/>
  <c r="M476" i="37"/>
  <c r="L485" i="37"/>
  <c r="G478" i="37"/>
  <c r="H478" i="37"/>
  <c r="G487" i="37"/>
  <c r="H485" i="37"/>
  <c r="M484" i="37"/>
  <c r="G475" i="37"/>
  <c r="M477" i="37"/>
  <c r="K483" i="37"/>
  <c r="Q475" i="37"/>
  <c r="N474" i="37"/>
  <c r="N479" i="37" s="1"/>
  <c r="N480" i="37" s="1"/>
  <c r="N477" i="37"/>
  <c r="J474" i="37"/>
  <c r="Q485" i="37"/>
  <c r="K485" i="37"/>
  <c r="P478" i="37"/>
  <c r="G474" i="37"/>
  <c r="O485" i="37"/>
  <c r="N484" i="37"/>
  <c r="J477" i="37"/>
  <c r="N487" i="37"/>
  <c r="Q476" i="37"/>
  <c r="H476" i="37"/>
  <c r="P487" i="37"/>
  <c r="I475" i="37"/>
  <c r="H487" i="37"/>
  <c r="P483" i="37"/>
  <c r="H477" i="37"/>
  <c r="I474" i="37"/>
  <c r="G484" i="37"/>
  <c r="P484" i="37"/>
  <c r="I486" i="37"/>
  <c r="L478" i="37"/>
  <c r="K478" i="37"/>
  <c r="H474" i="37"/>
  <c r="H479" i="37" s="1"/>
  <c r="H480" i="37" s="1"/>
  <c r="M475" i="37"/>
  <c r="H486" i="37"/>
  <c r="J483" i="37"/>
  <c r="I483" i="37"/>
  <c r="P485" i="37"/>
  <c r="Q477" i="37"/>
  <c r="G476" i="37"/>
  <c r="G485" i="37"/>
  <c r="N389" i="37"/>
  <c r="F371" i="37"/>
  <c r="F389" i="37" s="1"/>
  <c r="N430" i="37"/>
  <c r="N309" i="37"/>
  <c r="I479" i="40"/>
  <c r="I480" i="40" s="1"/>
  <c r="H479" i="40"/>
  <c r="H480" i="40" s="1"/>
  <c r="L488" i="40"/>
  <c r="L489" i="40" s="1"/>
  <c r="J479" i="40"/>
  <c r="J480" i="40" s="1"/>
  <c r="I488" i="40"/>
  <c r="I489" i="40" s="1"/>
  <c r="I376" i="40" s="1"/>
  <c r="I377" i="40" s="1"/>
  <c r="J379" i="37"/>
  <c r="J400" i="37" s="1"/>
  <c r="G479" i="40"/>
  <c r="G480" i="40" s="1"/>
  <c r="J488" i="40"/>
  <c r="J489" i="40" s="1"/>
  <c r="K479" i="40"/>
  <c r="K480" i="40" s="1"/>
  <c r="G414" i="40"/>
  <c r="G47" i="40" s="1"/>
  <c r="N479" i="40"/>
  <c r="N480" i="40" s="1"/>
  <c r="M488" i="40"/>
  <c r="M489" i="40" s="1"/>
  <c r="K488" i="40"/>
  <c r="K489" i="40" s="1"/>
  <c r="N488" i="40"/>
  <c r="N489" i="40" s="1"/>
  <c r="H488" i="40"/>
  <c r="H489" i="40" s="1"/>
  <c r="H376" i="40" s="1"/>
  <c r="H379" i="40" s="1"/>
  <c r="H400" i="40" s="1"/>
  <c r="L479" i="40"/>
  <c r="L480" i="40" s="1"/>
  <c r="M479" i="40"/>
  <c r="M480" i="40" s="1"/>
  <c r="G49" i="40"/>
  <c r="F417" i="40"/>
  <c r="F49" i="40" s="1"/>
  <c r="G377" i="40"/>
  <c r="G398" i="40" s="1"/>
  <c r="G400" i="40"/>
  <c r="G377" i="41"/>
  <c r="J398" i="37"/>
  <c r="G400" i="41"/>
  <c r="F25" i="42"/>
  <c r="H53" i="35" l="1"/>
  <c r="H92" i="35" s="1"/>
  <c r="I479" i="37"/>
  <c r="I480" i="37" s="1"/>
  <c r="J377" i="41"/>
  <c r="J390" i="41" s="1"/>
  <c r="G397" i="41"/>
  <c r="F397" i="41" s="1"/>
  <c r="G378" i="41"/>
  <c r="F378" i="41" s="1"/>
  <c r="K379" i="41"/>
  <c r="K400" i="41" s="1"/>
  <c r="H379" i="41"/>
  <c r="H400" i="41" s="1"/>
  <c r="I377" i="41"/>
  <c r="I390" i="41" s="1"/>
  <c r="I313" i="41" s="1"/>
  <c r="I312" i="41" s="1"/>
  <c r="I307" i="41" s="1"/>
  <c r="I396" i="41" s="1"/>
  <c r="N488" i="37"/>
  <c r="N489" i="37" s="1"/>
  <c r="N376" i="37" s="1"/>
  <c r="N379" i="37" s="1"/>
  <c r="N400" i="37" s="1"/>
  <c r="G479" i="37"/>
  <c r="G480" i="37" s="1"/>
  <c r="K488" i="37"/>
  <c r="K489" i="37" s="1"/>
  <c r="K376" i="37" s="1"/>
  <c r="K379" i="37" s="1"/>
  <c r="K400" i="37" s="1"/>
  <c r="L479" i="37"/>
  <c r="L480" i="37" s="1"/>
  <c r="K479" i="37"/>
  <c r="K480" i="37" s="1"/>
  <c r="J488" i="37"/>
  <c r="J489" i="37" s="1"/>
  <c r="H488" i="37"/>
  <c r="H489" i="37" s="1"/>
  <c r="O488" i="37"/>
  <c r="O489" i="37" s="1"/>
  <c r="P488" i="37"/>
  <c r="P489" i="37" s="1"/>
  <c r="M488" i="37"/>
  <c r="M489" i="37" s="1"/>
  <c r="P479" i="37"/>
  <c r="P480" i="37" s="1"/>
  <c r="Q488" i="37"/>
  <c r="Q489" i="37" s="1"/>
  <c r="M479" i="37"/>
  <c r="M480" i="37" s="1"/>
  <c r="O479" i="37"/>
  <c r="O480" i="37" s="1"/>
  <c r="L488" i="37"/>
  <c r="L489" i="37" s="1"/>
  <c r="L376" i="37" s="1"/>
  <c r="L377" i="37" s="1"/>
  <c r="G488" i="37"/>
  <c r="G489" i="37" s="1"/>
  <c r="G376" i="37" s="1"/>
  <c r="G377" i="37" s="1"/>
  <c r="G398" i="37" s="1"/>
  <c r="Q479" i="37"/>
  <c r="Q480" i="37" s="1"/>
  <c r="I488" i="37"/>
  <c r="I489" i="37" s="1"/>
  <c r="J479" i="37"/>
  <c r="J480" i="37" s="1"/>
  <c r="N58" i="37"/>
  <c r="F430" i="37"/>
  <c r="F58" i="37" s="1"/>
  <c r="J398" i="41"/>
  <c r="J390" i="37"/>
  <c r="J16" i="37" s="1"/>
  <c r="J17" i="37" s="1"/>
  <c r="I379" i="40"/>
  <c r="I400" i="40" s="1"/>
  <c r="F400" i="40" s="1"/>
  <c r="F414" i="40"/>
  <c r="F47" i="40" s="1"/>
  <c r="H377" i="40"/>
  <c r="F377" i="40" s="1"/>
  <c r="G390" i="40"/>
  <c r="I398" i="40"/>
  <c r="F377" i="41"/>
  <c r="G398" i="41"/>
  <c r="I16" i="41"/>
  <c r="I17" i="41" s="1"/>
  <c r="J313" i="41"/>
  <c r="J312" i="41" s="1"/>
  <c r="J307" i="41" s="1"/>
  <c r="J396" i="41" s="1"/>
  <c r="J16" i="41"/>
  <c r="J17" i="41" s="1"/>
  <c r="F48" i="42"/>
  <c r="F71" i="42" s="1"/>
  <c r="N71" i="42" s="1"/>
  <c r="N25" i="42"/>
  <c r="K254" i="35"/>
  <c r="G254" i="35" s="1"/>
  <c r="K270" i="35"/>
  <c r="G270" i="35" s="1"/>
  <c r="K259" i="35"/>
  <c r="G259" i="35" s="1"/>
  <c r="K261" i="35"/>
  <c r="G261" i="35" s="1"/>
  <c r="K268" i="35"/>
  <c r="G268" i="35" s="1"/>
  <c r="K255" i="35"/>
  <c r="G255" i="35" s="1"/>
  <c r="K258" i="35"/>
  <c r="G258" i="35" s="1"/>
  <c r="K253" i="35"/>
  <c r="G253" i="35" s="1"/>
  <c r="K263" i="35"/>
  <c r="G263" i="35" s="1"/>
  <c r="K256" i="35"/>
  <c r="G256" i="35" s="1"/>
  <c r="K257" i="35"/>
  <c r="G257" i="35" s="1"/>
  <c r="K264" i="35"/>
  <c r="G264" i="35" s="1"/>
  <c r="K262" i="35"/>
  <c r="G262" i="35" s="1"/>
  <c r="K265" i="35"/>
  <c r="G265" i="35" s="1"/>
  <c r="K267" i="35"/>
  <c r="G267" i="35" s="1"/>
  <c r="K260" i="35"/>
  <c r="G260" i="35" s="1"/>
  <c r="K269" i="35"/>
  <c r="G269" i="35" s="1"/>
  <c r="K266" i="35"/>
  <c r="G266" i="35" s="1"/>
  <c r="K271" i="35"/>
  <c r="G271" i="35" s="1"/>
  <c r="K277" i="35"/>
  <c r="G277" i="35" s="1"/>
  <c r="K273" i="35"/>
  <c r="G273" i="35" s="1"/>
  <c r="K274" i="35"/>
  <c r="G274" i="35" s="1"/>
  <c r="K276" i="35"/>
  <c r="G276" i="35" s="1"/>
  <c r="K272" i="35"/>
  <c r="G272" i="35" s="1"/>
  <c r="K275" i="35"/>
  <c r="G275" i="35" s="1"/>
  <c r="K252" i="35"/>
  <c r="G252" i="35" s="1"/>
  <c r="K227" i="35"/>
  <c r="G227" i="35" s="1"/>
  <c r="K243" i="35"/>
  <c r="G243" i="35" s="1"/>
  <c r="K236" i="35"/>
  <c r="G236" i="35" s="1"/>
  <c r="K229" i="35"/>
  <c r="G229" i="35" s="1"/>
  <c r="K245" i="35"/>
  <c r="G245" i="35" s="1"/>
  <c r="K232" i="35"/>
  <c r="G232" i="35" s="1"/>
  <c r="K231" i="35"/>
  <c r="G231" i="35" s="1"/>
  <c r="K234" i="35"/>
  <c r="G234" i="35" s="1"/>
  <c r="K240" i="35"/>
  <c r="G240" i="35" s="1"/>
  <c r="K233" i="35"/>
  <c r="G233" i="35" s="1"/>
  <c r="K230" i="35"/>
  <c r="G230" i="35" s="1"/>
  <c r="K241" i="35"/>
  <c r="G241" i="35" s="1"/>
  <c r="K235" i="35"/>
  <c r="G235" i="35" s="1"/>
  <c r="K228" i="35"/>
  <c r="G228" i="35" s="1"/>
  <c r="K244" i="35"/>
  <c r="G244" i="35" s="1"/>
  <c r="K237" i="35"/>
  <c r="G237" i="35" s="1"/>
  <c r="K238" i="35"/>
  <c r="G238" i="35" s="1"/>
  <c r="K239" i="35"/>
  <c r="G239" i="35" s="1"/>
  <c r="K242" i="35"/>
  <c r="G242" i="35" s="1"/>
  <c r="K251" i="35"/>
  <c r="G251" i="35" s="1"/>
  <c r="K247" i="35"/>
  <c r="G247" i="35" s="1"/>
  <c r="K248" i="35"/>
  <c r="G248" i="35" s="1"/>
  <c r="K250" i="35"/>
  <c r="G250" i="35" s="1"/>
  <c r="K246" i="35"/>
  <c r="G246" i="35" s="1"/>
  <c r="K249" i="35"/>
  <c r="G249" i="35" s="1"/>
  <c r="K226" i="35"/>
  <c r="G226" i="35" s="1"/>
  <c r="K203" i="35"/>
  <c r="G203" i="35" s="1"/>
  <c r="K219" i="35"/>
  <c r="G219" i="35" s="1"/>
  <c r="K208" i="35"/>
  <c r="G208" i="35" s="1"/>
  <c r="K201" i="35"/>
  <c r="G201" i="35" s="1"/>
  <c r="K217" i="35"/>
  <c r="G217" i="35" s="1"/>
  <c r="K204" i="35"/>
  <c r="G204" i="35" s="1"/>
  <c r="K207" i="35"/>
  <c r="G207" i="35" s="1"/>
  <c r="K206" i="35"/>
  <c r="G206" i="35" s="1"/>
  <c r="K212" i="35"/>
  <c r="G212" i="35" s="1"/>
  <c r="K205" i="35"/>
  <c r="G205" i="35" s="1"/>
  <c r="K202" i="35"/>
  <c r="G202" i="35" s="1"/>
  <c r="K210" i="35"/>
  <c r="G210" i="35" s="1"/>
  <c r="K211" i="35"/>
  <c r="G211" i="35" s="1"/>
  <c r="K218" i="35"/>
  <c r="G218" i="35" s="1"/>
  <c r="K216" i="35"/>
  <c r="G216" i="35" s="1"/>
  <c r="K209" i="35"/>
  <c r="G209" i="35" s="1"/>
  <c r="K214" i="35"/>
  <c r="G214" i="35" s="1"/>
  <c r="K215" i="35"/>
  <c r="G215" i="35" s="1"/>
  <c r="K213" i="35"/>
  <c r="G213" i="35" s="1"/>
  <c r="K221" i="35"/>
  <c r="G221" i="35" s="1"/>
  <c r="K222" i="35"/>
  <c r="G222" i="35" s="1"/>
  <c r="K224" i="35"/>
  <c r="G224" i="35" s="1"/>
  <c r="K220" i="35"/>
  <c r="G220" i="35" s="1"/>
  <c r="K223" i="35"/>
  <c r="G223" i="35" s="1"/>
  <c r="K200" i="35"/>
  <c r="G200" i="35" s="1"/>
  <c r="K177" i="35"/>
  <c r="G177" i="35" s="1"/>
  <c r="K193" i="35"/>
  <c r="G193" i="35" s="1"/>
  <c r="K182" i="35"/>
  <c r="G182" i="35" s="1"/>
  <c r="K175" i="35"/>
  <c r="G175" i="35" s="1"/>
  <c r="K191" i="35"/>
  <c r="G191" i="35" s="1"/>
  <c r="K178" i="35"/>
  <c r="G178" i="35" s="1"/>
  <c r="K181" i="35"/>
  <c r="G181" i="35" s="1"/>
  <c r="K176" i="35"/>
  <c r="G176" i="35" s="1"/>
  <c r="K186" i="35"/>
  <c r="G186" i="35" s="1"/>
  <c r="K179" i="35"/>
  <c r="G179" i="35" s="1"/>
  <c r="K180" i="35"/>
  <c r="G180" i="35" s="1"/>
  <c r="K187" i="35"/>
  <c r="G187" i="35" s="1"/>
  <c r="K185" i="35"/>
  <c r="G185" i="35" s="1"/>
  <c r="K184" i="35"/>
  <c r="G184" i="35" s="1"/>
  <c r="K190" i="35"/>
  <c r="G190" i="35" s="1"/>
  <c r="K183" i="35"/>
  <c r="G183" i="35" s="1"/>
  <c r="K188" i="35"/>
  <c r="G188" i="35" s="1"/>
  <c r="K189" i="35"/>
  <c r="G189" i="35" s="1"/>
  <c r="K192" i="35"/>
  <c r="G192" i="35" s="1"/>
  <c r="K198" i="35"/>
  <c r="G198" i="35" s="1"/>
  <c r="K194" i="35"/>
  <c r="G194" i="35" s="1"/>
  <c r="K197" i="35"/>
  <c r="G197" i="35" s="1"/>
  <c r="K195" i="35"/>
  <c r="G195" i="35" s="1"/>
  <c r="K196" i="35"/>
  <c r="G196" i="35" s="1"/>
  <c r="K174" i="35"/>
  <c r="G174" i="35" s="1"/>
  <c r="K150" i="35"/>
  <c r="G150" i="35" s="1"/>
  <c r="K166" i="35"/>
  <c r="G166" i="35" s="1"/>
  <c r="K159" i="35"/>
  <c r="G159" i="35" s="1"/>
  <c r="K165" i="35"/>
  <c r="G165" i="35" s="1"/>
  <c r="K164" i="35"/>
  <c r="G164" i="35" s="1"/>
  <c r="K162" i="35"/>
  <c r="G162" i="35" s="1"/>
  <c r="K160" i="35"/>
  <c r="G160" i="35" s="1"/>
  <c r="K154" i="35"/>
  <c r="G154" i="35" s="1"/>
  <c r="K157" i="35"/>
  <c r="G157" i="35" s="1"/>
  <c r="K163" i="35"/>
  <c r="G163" i="35" s="1"/>
  <c r="K152" i="35"/>
  <c r="G152" i="35" s="1"/>
  <c r="K149" i="35"/>
  <c r="G149" i="35" s="1"/>
  <c r="K161" i="35"/>
  <c r="G161" i="35" s="1"/>
  <c r="K153" i="35"/>
  <c r="G153" i="35" s="1"/>
  <c r="K158" i="35"/>
  <c r="G158" i="35" s="1"/>
  <c r="K151" i="35"/>
  <c r="G151" i="35" s="1"/>
  <c r="K167" i="35"/>
  <c r="G167" i="35" s="1"/>
  <c r="K156" i="35"/>
  <c r="G156" i="35" s="1"/>
  <c r="K155" i="35"/>
  <c r="G155" i="35" s="1"/>
  <c r="K169" i="35"/>
  <c r="G169" i="35" s="1"/>
  <c r="K170" i="35"/>
  <c r="G170" i="35" s="1"/>
  <c r="K172" i="35"/>
  <c r="G172" i="35" s="1"/>
  <c r="K168" i="35"/>
  <c r="G168" i="35" s="1"/>
  <c r="K171" i="35"/>
  <c r="G171" i="35" s="1"/>
  <c r="K148" i="35"/>
  <c r="G148" i="35" s="1"/>
  <c r="G390" i="41" l="1"/>
  <c r="G313" i="41" s="1"/>
  <c r="G312" i="41" s="1"/>
  <c r="G399" i="41"/>
  <c r="F399" i="41" s="1"/>
  <c r="K390" i="41"/>
  <c r="K313" i="41" s="1"/>
  <c r="K312" i="41" s="1"/>
  <c r="K307" i="41" s="1"/>
  <c r="K396" i="41" s="1"/>
  <c r="H390" i="41"/>
  <c r="H16" i="41" s="1"/>
  <c r="H17" i="41" s="1"/>
  <c r="F400" i="41"/>
  <c r="F379" i="41"/>
  <c r="I398" i="41"/>
  <c r="F398" i="41" s="1"/>
  <c r="N377" i="37"/>
  <c r="N390" i="37" s="1"/>
  <c r="K377" i="37"/>
  <c r="K390" i="37" s="1"/>
  <c r="L379" i="37"/>
  <c r="L400" i="37" s="1"/>
  <c r="G379" i="37"/>
  <c r="G400" i="37" s="1"/>
  <c r="J313" i="37"/>
  <c r="J312" i="37" s="1"/>
  <c r="J307" i="37" s="1"/>
  <c r="J396" i="37" s="1"/>
  <c r="I390" i="40"/>
  <c r="I313" i="40" s="1"/>
  <c r="I312" i="40" s="1"/>
  <c r="I307" i="40" s="1"/>
  <c r="I396" i="40" s="1"/>
  <c r="F379" i="40"/>
  <c r="H398" i="40"/>
  <c r="F398" i="40" s="1"/>
  <c r="H390" i="40"/>
  <c r="L398" i="37"/>
  <c r="G16" i="40"/>
  <c r="G313" i="40"/>
  <c r="G17" i="41"/>
  <c r="N48" i="42"/>
  <c r="F94" i="42"/>
  <c r="I8" i="33"/>
  <c r="K314" i="35"/>
  <c r="G314" i="35" s="1"/>
  <c r="K398" i="37" l="1"/>
  <c r="G16" i="41"/>
  <c r="K16" i="41"/>
  <c r="K17" i="41" s="1"/>
  <c r="F17" i="41" s="1"/>
  <c r="F390" i="41"/>
  <c r="H313" i="41"/>
  <c r="H312" i="41" s="1"/>
  <c r="H307" i="41" s="1"/>
  <c r="H396" i="41" s="1"/>
  <c r="N398" i="37"/>
  <c r="F377" i="37"/>
  <c r="L390" i="37"/>
  <c r="L16" i="37" s="1"/>
  <c r="G390" i="37"/>
  <c r="G313" i="37" s="1"/>
  <c r="G312" i="37" s="1"/>
  <c r="G307" i="37" s="1"/>
  <c r="F390" i="40"/>
  <c r="I16" i="40"/>
  <c r="F379" i="37"/>
  <c r="F400" i="37"/>
  <c r="F16" i="41"/>
  <c r="N94" i="42"/>
  <c r="F117" i="42"/>
  <c r="N117" i="42" s="1"/>
  <c r="J2" i="42" s="1"/>
  <c r="F2" i="44" s="1"/>
  <c r="H16" i="40"/>
  <c r="H17" i="40" s="1"/>
  <c r="H313" i="40"/>
  <c r="H312" i="40" s="1"/>
  <c r="H307" i="40" s="1"/>
  <c r="H396" i="40" s="1"/>
  <c r="K313" i="37"/>
  <c r="K312" i="37" s="1"/>
  <c r="K307" i="37" s="1"/>
  <c r="K396" i="37" s="1"/>
  <c r="K16" i="37"/>
  <c r="K17" i="37" s="1"/>
  <c r="N16" i="37"/>
  <c r="N17" i="37" s="1"/>
  <c r="N313" i="37"/>
  <c r="N312" i="37" s="1"/>
  <c r="N307" i="37" s="1"/>
  <c r="N396" i="37" s="1"/>
  <c r="G312" i="40"/>
  <c r="G17" i="40"/>
  <c r="G307" i="41"/>
  <c r="F312" i="41"/>
  <c r="I47" i="35"/>
  <c r="I51" i="35"/>
  <c r="I48" i="35"/>
  <c r="I80" i="35"/>
  <c r="I79" i="35"/>
  <c r="I81" i="35"/>
  <c r="I87" i="35"/>
  <c r="I83" i="35"/>
  <c r="I50" i="35"/>
  <c r="I89" i="35"/>
  <c r="I85" i="35"/>
  <c r="I82" i="35"/>
  <c r="I88" i="35"/>
  <c r="I49" i="35"/>
  <c r="I86" i="35"/>
  <c r="F398" i="37" l="1"/>
  <c r="L19" i="41"/>
  <c r="K19" i="41"/>
  <c r="G19" i="41"/>
  <c r="J19" i="41"/>
  <c r="N19" i="41"/>
  <c r="M19" i="41"/>
  <c r="I19" i="41"/>
  <c r="H19" i="41"/>
  <c r="F313" i="41"/>
  <c r="L313" i="37"/>
  <c r="L312" i="37" s="1"/>
  <c r="G16" i="37"/>
  <c r="F390" i="37"/>
  <c r="I78" i="35"/>
  <c r="I84" i="35"/>
  <c r="F16" i="40"/>
  <c r="F17" i="40"/>
  <c r="H19" i="40" s="1"/>
  <c r="F313" i="40"/>
  <c r="G307" i="40"/>
  <c r="F312" i="40"/>
  <c r="G396" i="37"/>
  <c r="F307" i="41"/>
  <c r="G396" i="41"/>
  <c r="F396" i="41" s="1"/>
  <c r="F25" i="44"/>
  <c r="J16" i="42"/>
  <c r="K16" i="42"/>
  <c r="K62" i="41"/>
  <c r="J62" i="41"/>
  <c r="G62" i="41"/>
  <c r="I12" i="35"/>
  <c r="I13" i="35"/>
  <c r="F19" i="41" l="1"/>
  <c r="F20" i="41" s="1"/>
  <c r="M20" i="41" s="1"/>
  <c r="F16" i="37"/>
  <c r="G17" i="37"/>
  <c r="F17" i="37" s="1"/>
  <c r="H19" i="37" s="1"/>
  <c r="F313" i="37"/>
  <c r="J19" i="40"/>
  <c r="I91" i="35"/>
  <c r="I14" i="35"/>
  <c r="I11" i="35" s="1"/>
  <c r="I9" i="35"/>
  <c r="I10" i="35"/>
  <c r="G19" i="40"/>
  <c r="N19" i="40"/>
  <c r="I19" i="40"/>
  <c r="M19" i="40"/>
  <c r="K19" i="40"/>
  <c r="L19" i="40"/>
  <c r="L307" i="37"/>
  <c r="F312" i="37"/>
  <c r="G396" i="40"/>
  <c r="F396" i="40" s="1"/>
  <c r="F307" i="40"/>
  <c r="N20" i="41"/>
  <c r="L20" i="41"/>
  <c r="G20" i="41"/>
  <c r="G21" i="41" s="1"/>
  <c r="H20" i="41"/>
  <c r="H504" i="41"/>
  <c r="H493" i="41"/>
  <c r="M492" i="41"/>
  <c r="K492" i="41"/>
  <c r="I503" i="41"/>
  <c r="H501" i="41"/>
  <c r="N504" i="41"/>
  <c r="N496" i="41"/>
  <c r="L493" i="41"/>
  <c r="I493" i="41"/>
  <c r="L503" i="41"/>
  <c r="L492" i="41"/>
  <c r="G492" i="41"/>
  <c r="M504" i="41"/>
  <c r="K500" i="41"/>
  <c r="H503" i="41"/>
  <c r="I502" i="41"/>
  <c r="K493" i="41"/>
  <c r="J504" i="41"/>
  <c r="J503" i="41"/>
  <c r="H502" i="41"/>
  <c r="K502" i="41"/>
  <c r="K496" i="41"/>
  <c r="M500" i="41"/>
  <c r="N502" i="41"/>
  <c r="I496" i="41"/>
  <c r="N494" i="41"/>
  <c r="G495" i="41"/>
  <c r="H500" i="41"/>
  <c r="G501" i="41"/>
  <c r="N500" i="41"/>
  <c r="G500" i="41"/>
  <c r="N501" i="41"/>
  <c r="H492" i="41"/>
  <c r="G504" i="41"/>
  <c r="L504" i="41"/>
  <c r="J493" i="41"/>
  <c r="J492" i="41"/>
  <c r="L496" i="41"/>
  <c r="J500" i="41"/>
  <c r="J505" i="41" s="1"/>
  <c r="J415" i="41" s="1"/>
  <c r="I500" i="41"/>
  <c r="J496" i="41"/>
  <c r="K495" i="41"/>
  <c r="J502" i="41"/>
  <c r="J501" i="41"/>
  <c r="L502" i="41"/>
  <c r="I504" i="41"/>
  <c r="I494" i="41"/>
  <c r="K503" i="41"/>
  <c r="N492" i="41"/>
  <c r="G503" i="41"/>
  <c r="H496" i="41"/>
  <c r="G496" i="41"/>
  <c r="H495" i="41"/>
  <c r="J495" i="41"/>
  <c r="I495" i="41"/>
  <c r="J494" i="41"/>
  <c r="I492" i="41"/>
  <c r="M496" i="41"/>
  <c r="M495" i="41"/>
  <c r="L500" i="41"/>
  <c r="K501" i="41"/>
  <c r="K504" i="41"/>
  <c r="L494" i="41"/>
  <c r="M494" i="41"/>
  <c r="K494" i="41"/>
  <c r="M493" i="41"/>
  <c r="I501" i="41"/>
  <c r="G494" i="41"/>
  <c r="G493" i="41"/>
  <c r="L495" i="41"/>
  <c r="N495" i="41"/>
  <c r="N503" i="41"/>
  <c r="M503" i="41"/>
  <c r="M502" i="41"/>
  <c r="H494" i="41"/>
  <c r="M501" i="41"/>
  <c r="L501" i="41"/>
  <c r="G502" i="41"/>
  <c r="N493" i="41"/>
  <c r="F48" i="44"/>
  <c r="F71" i="44" s="1"/>
  <c r="N71" i="44" s="1"/>
  <c r="N25" i="44"/>
  <c r="I505" i="41" l="1"/>
  <c r="I415" i="41" s="1"/>
  <c r="J20" i="41"/>
  <c r="J21" i="41" s="1"/>
  <c r="K20" i="41"/>
  <c r="K21" i="41" s="1"/>
  <c r="I20" i="41"/>
  <c r="I19" i="37"/>
  <c r="N19" i="37"/>
  <c r="O19" i="37"/>
  <c r="J19" i="37"/>
  <c r="M19" i="37"/>
  <c r="K19" i="37"/>
  <c r="Q19" i="37"/>
  <c r="P19" i="37"/>
  <c r="L19" i="37"/>
  <c r="G19" i="37"/>
  <c r="I27" i="35"/>
  <c r="I53" i="35" s="1"/>
  <c r="I92" i="35" s="1"/>
  <c r="F19" i="40"/>
  <c r="F20" i="40" s="1"/>
  <c r="N20" i="40" s="1"/>
  <c r="L396" i="37"/>
  <c r="F396" i="37" s="1"/>
  <c r="F307" i="37"/>
  <c r="M496" i="40"/>
  <c r="I495" i="40"/>
  <c r="L500" i="40"/>
  <c r="G501" i="40"/>
  <c r="J496" i="40"/>
  <c r="L501" i="40"/>
  <c r="H500" i="40"/>
  <c r="G493" i="40"/>
  <c r="N502" i="40"/>
  <c r="I501" i="40"/>
  <c r="K502" i="40"/>
  <c r="J504" i="40"/>
  <c r="N493" i="40"/>
  <c r="I492" i="40"/>
  <c r="L492" i="40"/>
  <c r="N494" i="40"/>
  <c r="J493" i="40"/>
  <c r="M495" i="40"/>
  <c r="H494" i="40"/>
  <c r="G492" i="40"/>
  <c r="G496" i="40"/>
  <c r="M502" i="40"/>
  <c r="N501" i="40"/>
  <c r="J494" i="40"/>
  <c r="N492" i="40"/>
  <c r="I493" i="40"/>
  <c r="L495" i="40"/>
  <c r="K504" i="40"/>
  <c r="I496" i="40"/>
  <c r="M494" i="40"/>
  <c r="H495" i="40"/>
  <c r="K494" i="40"/>
  <c r="N500" i="40"/>
  <c r="G500" i="40"/>
  <c r="K503" i="40"/>
  <c r="J502" i="40"/>
  <c r="M504" i="40"/>
  <c r="H503" i="40"/>
  <c r="K493" i="40"/>
  <c r="N503" i="40"/>
  <c r="I504" i="40"/>
  <c r="M493" i="40"/>
  <c r="H492" i="40"/>
  <c r="K500" i="40"/>
  <c r="M503" i="40"/>
  <c r="L493" i="40"/>
  <c r="J492" i="40"/>
  <c r="M492" i="40"/>
  <c r="H501" i="40"/>
  <c r="K492" i="40"/>
  <c r="J500" i="40"/>
  <c r="K501" i="40"/>
  <c r="I502" i="40"/>
  <c r="J503" i="40"/>
  <c r="H504" i="40"/>
  <c r="N495" i="40"/>
  <c r="H493" i="40"/>
  <c r="L496" i="40"/>
  <c r="G495" i="40"/>
  <c r="L504" i="40"/>
  <c r="H502" i="40"/>
  <c r="G504" i="40"/>
  <c r="K496" i="40"/>
  <c r="J501" i="40"/>
  <c r="M501" i="40"/>
  <c r="G502" i="40"/>
  <c r="K495" i="40"/>
  <c r="N504" i="40"/>
  <c r="I503" i="40"/>
  <c r="L503" i="40"/>
  <c r="J495" i="40"/>
  <c r="M500" i="40"/>
  <c r="I494" i="40"/>
  <c r="L494" i="40"/>
  <c r="G494" i="40"/>
  <c r="I500" i="40"/>
  <c r="L502" i="40"/>
  <c r="H496" i="40"/>
  <c r="G503" i="40"/>
  <c r="N496" i="40"/>
  <c r="K505" i="41"/>
  <c r="K415" i="41" s="1"/>
  <c r="K418" i="41" s="1"/>
  <c r="K50" i="41" s="1"/>
  <c r="N505" i="41"/>
  <c r="M497" i="41"/>
  <c r="L505" i="41"/>
  <c r="G505" i="41"/>
  <c r="G415" i="41" s="1"/>
  <c r="G418" i="41" s="1"/>
  <c r="H505" i="41"/>
  <c r="H415" i="41" s="1"/>
  <c r="H418" i="41" s="1"/>
  <c r="H50" i="41" s="1"/>
  <c r="L497" i="41"/>
  <c r="K497" i="41"/>
  <c r="K413" i="41" s="1"/>
  <c r="K417" i="41" s="1"/>
  <c r="K49" i="41" s="1"/>
  <c r="M505" i="41"/>
  <c r="N497" i="41"/>
  <c r="I497" i="41"/>
  <c r="I413" i="41" s="1"/>
  <c r="I414" i="41" s="1"/>
  <c r="I47" i="41" s="1"/>
  <c r="J497" i="41"/>
  <c r="J413" i="41" s="1"/>
  <c r="J414" i="41" s="1"/>
  <c r="J47" i="41" s="1"/>
  <c r="H497" i="41"/>
  <c r="H413" i="41" s="1"/>
  <c r="H417" i="41" s="1"/>
  <c r="H49" i="41" s="1"/>
  <c r="G497" i="41"/>
  <c r="G413" i="41" s="1"/>
  <c r="G414" i="41" s="1"/>
  <c r="I416" i="41"/>
  <c r="I418" i="41"/>
  <c r="I50" i="41" s="1"/>
  <c r="F21" i="41"/>
  <c r="G21" i="37"/>
  <c r="G15" i="41"/>
  <c r="J418" i="41"/>
  <c r="J50" i="41" s="1"/>
  <c r="J416" i="41"/>
  <c r="J15" i="41"/>
  <c r="J13" i="41" s="1"/>
  <c r="J21" i="37"/>
  <c r="K21" i="37"/>
  <c r="K15" i="41"/>
  <c r="K13" i="41" s="1"/>
  <c r="N48" i="44"/>
  <c r="F19" i="37" l="1"/>
  <c r="F20" i="37" s="1"/>
  <c r="K20" i="37" s="1"/>
  <c r="F94" i="44"/>
  <c r="N94" i="44" s="1"/>
  <c r="H416" i="41"/>
  <c r="H48" i="41" s="1"/>
  <c r="L20" i="40"/>
  <c r="G20" i="40"/>
  <c r="G21" i="40" s="1"/>
  <c r="G15" i="40" s="1"/>
  <c r="I20" i="40"/>
  <c r="I21" i="40" s="1"/>
  <c r="I15" i="40" s="1"/>
  <c r="I13" i="40" s="1"/>
  <c r="I63" i="40" s="1"/>
  <c r="J20" i="40"/>
  <c r="M20" i="40"/>
  <c r="H20" i="40"/>
  <c r="K20" i="40"/>
  <c r="G505" i="40"/>
  <c r="G415" i="40" s="1"/>
  <c r="G416" i="40" s="1"/>
  <c r="M497" i="40"/>
  <c r="I497" i="40"/>
  <c r="N497" i="40"/>
  <c r="J497" i="40"/>
  <c r="H505" i="40"/>
  <c r="H415" i="40" s="1"/>
  <c r="H416" i="40" s="1"/>
  <c r="H497" i="40"/>
  <c r="K497" i="40"/>
  <c r="K505" i="40"/>
  <c r="M505" i="40"/>
  <c r="G497" i="40"/>
  <c r="I505" i="40"/>
  <c r="I415" i="40" s="1"/>
  <c r="I418" i="40" s="1"/>
  <c r="I50" i="40" s="1"/>
  <c r="L505" i="40"/>
  <c r="L497" i="40"/>
  <c r="N505" i="40"/>
  <c r="I417" i="41"/>
  <c r="I49" i="41" s="1"/>
  <c r="G496" i="37"/>
  <c r="Q495" i="37"/>
  <c r="L496" i="37"/>
  <c r="H503" i="37"/>
  <c r="N494" i="37"/>
  <c r="H504" i="37"/>
  <c r="I495" i="37"/>
  <c r="L492" i="37"/>
  <c r="G502" i="37"/>
  <c r="G503" i="37"/>
  <c r="J495" i="37"/>
  <c r="P503" i="37"/>
  <c r="J504" i="37"/>
  <c r="I496" i="37"/>
  <c r="M500" i="37"/>
  <c r="N493" i="37"/>
  <c r="I504" i="37"/>
  <c r="P492" i="37"/>
  <c r="N492" i="37"/>
  <c r="K494" i="37"/>
  <c r="N504" i="37"/>
  <c r="M496" i="37"/>
  <c r="H501" i="37"/>
  <c r="I502" i="37"/>
  <c r="M504" i="37"/>
  <c r="H495" i="37"/>
  <c r="K502" i="37"/>
  <c r="J496" i="37"/>
  <c r="K504" i="37"/>
  <c r="Q501" i="37"/>
  <c r="P494" i="37"/>
  <c r="P493" i="37"/>
  <c r="L502" i="37"/>
  <c r="Q496" i="37"/>
  <c r="J493" i="37"/>
  <c r="G501" i="37"/>
  <c r="G504" i="37"/>
  <c r="O502" i="37"/>
  <c r="I492" i="37"/>
  <c r="K495" i="37"/>
  <c r="Q494" i="37"/>
  <c r="L504" i="37"/>
  <c r="H496" i="37"/>
  <c r="K493" i="37"/>
  <c r="N503" i="37"/>
  <c r="Q502" i="37"/>
  <c r="O494" i="37"/>
  <c r="G495" i="37"/>
  <c r="G494" i="37"/>
  <c r="J501" i="37"/>
  <c r="N495" i="37"/>
  <c r="G492" i="37"/>
  <c r="N502" i="37"/>
  <c r="J500" i="37"/>
  <c r="J505" i="37" s="1"/>
  <c r="J415" i="37" s="1"/>
  <c r="L503" i="37"/>
  <c r="I501" i="37"/>
  <c r="I494" i="37"/>
  <c r="M495" i="37"/>
  <c r="Q492" i="37"/>
  <c r="I493" i="37"/>
  <c r="O504" i="37"/>
  <c r="H494" i="37"/>
  <c r="O503" i="37"/>
  <c r="K492" i="37"/>
  <c r="O493" i="37"/>
  <c r="M503" i="37"/>
  <c r="K501" i="37"/>
  <c r="Q493" i="37"/>
  <c r="L501" i="37"/>
  <c r="Q500" i="37"/>
  <c r="Q505" i="37" s="1"/>
  <c r="L494" i="37"/>
  <c r="H492" i="37"/>
  <c r="N496" i="37"/>
  <c r="K503" i="37"/>
  <c r="M492" i="37"/>
  <c r="J502" i="37"/>
  <c r="O500" i="37"/>
  <c r="M502" i="37"/>
  <c r="P502" i="37"/>
  <c r="I503" i="37"/>
  <c r="Q503" i="37"/>
  <c r="P500" i="37"/>
  <c r="M494" i="37"/>
  <c r="L495" i="37"/>
  <c r="P501" i="37"/>
  <c r="G500" i="37"/>
  <c r="K500" i="37"/>
  <c r="L500" i="37"/>
  <c r="J494" i="37"/>
  <c r="P495" i="37"/>
  <c r="P496" i="37"/>
  <c r="L493" i="37"/>
  <c r="L497" i="37" s="1"/>
  <c r="L413" i="37" s="1"/>
  <c r="O492" i="37"/>
  <c r="O497" i="37" s="1"/>
  <c r="O413" i="37" s="1"/>
  <c r="H502" i="37"/>
  <c r="M493" i="37"/>
  <c r="O501" i="37"/>
  <c r="N500" i="37"/>
  <c r="J503" i="37"/>
  <c r="P504" i="37"/>
  <c r="M501" i="37"/>
  <c r="H493" i="37"/>
  <c r="G493" i="37"/>
  <c r="N501" i="37"/>
  <c r="H500" i="37"/>
  <c r="K496" i="37"/>
  <c r="O496" i="37"/>
  <c r="Q504" i="37"/>
  <c r="O495" i="37"/>
  <c r="I500" i="37"/>
  <c r="J492" i="37"/>
  <c r="G417" i="41"/>
  <c r="G49" i="41" s="1"/>
  <c r="J505" i="40"/>
  <c r="K416" i="41"/>
  <c r="K48" i="41" s="1"/>
  <c r="G416" i="41"/>
  <c r="G48" i="41" s="1"/>
  <c r="K414" i="41"/>
  <c r="K47" i="41" s="1"/>
  <c r="J417" i="41"/>
  <c r="J49" i="41" s="1"/>
  <c r="H414" i="41"/>
  <c r="H47" i="41" s="1"/>
  <c r="K15" i="37"/>
  <c r="K13" i="37" s="1"/>
  <c r="H30" i="44"/>
  <c r="I30" i="44" s="1"/>
  <c r="I32" i="44" s="1"/>
  <c r="I47" i="44" s="1"/>
  <c r="I19" i="44" s="1"/>
  <c r="H30" i="1"/>
  <c r="I30" i="1" s="1"/>
  <c r="I32" i="1" s="1"/>
  <c r="I47" i="1" s="1"/>
  <c r="I19" i="1" s="1"/>
  <c r="G15" i="37"/>
  <c r="H30" i="42"/>
  <c r="I30" i="42" s="1"/>
  <c r="I32" i="42" s="1"/>
  <c r="I47" i="42" s="1"/>
  <c r="I19" i="42" s="1"/>
  <c r="J15" i="37"/>
  <c r="J13" i="37" s="1"/>
  <c r="J48" i="41"/>
  <c r="G50" i="41"/>
  <c r="F418" i="41"/>
  <c r="F50" i="41" s="1"/>
  <c r="I48" i="41"/>
  <c r="J63" i="41"/>
  <c r="J77" i="41"/>
  <c r="J80" i="41" s="1"/>
  <c r="J4" i="41" s="1"/>
  <c r="K77" i="41"/>
  <c r="K80" i="41" s="1"/>
  <c r="K4" i="41" s="1"/>
  <c r="K63" i="41"/>
  <c r="F15" i="41"/>
  <c r="G13" i="41"/>
  <c r="G47" i="41"/>
  <c r="K16" i="44"/>
  <c r="J16" i="44"/>
  <c r="J79" i="35"/>
  <c r="J81" i="35"/>
  <c r="J86" i="35"/>
  <c r="J50" i="35"/>
  <c r="H16" i="35"/>
  <c r="J80" i="35"/>
  <c r="J85" i="35"/>
  <c r="J16" i="35"/>
  <c r="J49" i="35"/>
  <c r="J51" i="35"/>
  <c r="I16" i="35"/>
  <c r="J48" i="35"/>
  <c r="J47" i="35"/>
  <c r="J88" i="35"/>
  <c r="J89" i="35"/>
  <c r="J87" i="35"/>
  <c r="J83" i="35"/>
  <c r="J82" i="35"/>
  <c r="K497" i="37" l="1"/>
  <c r="K413" i="37" s="1"/>
  <c r="G20" i="37"/>
  <c r="N20" i="37"/>
  <c r="J20" i="37"/>
  <c r="P20" i="37"/>
  <c r="P21" i="37" s="1"/>
  <c r="P15" i="37" s="1"/>
  <c r="P13" i="37" s="1"/>
  <c r="P77" i="37" s="1"/>
  <c r="P80" i="37" s="1"/>
  <c r="P4" i="37" s="1"/>
  <c r="H20" i="37"/>
  <c r="O20" i="37"/>
  <c r="O21" i="37" s="1"/>
  <c r="O15" i="37" s="1"/>
  <c r="O13" i="37" s="1"/>
  <c r="M20" i="37"/>
  <c r="L20" i="37"/>
  <c r="Q20" i="37"/>
  <c r="I20" i="37"/>
  <c r="J78" i="35"/>
  <c r="J84" i="35"/>
  <c r="J2" i="44"/>
  <c r="L21" i="37"/>
  <c r="H30" i="34" s="1"/>
  <c r="I30" i="34" s="1"/>
  <c r="I32" i="34" s="1"/>
  <c r="I47" i="34" s="1"/>
  <c r="I19" i="34" s="1"/>
  <c r="F15" i="40"/>
  <c r="I321" i="41"/>
  <c r="I320" i="41" s="1"/>
  <c r="I319" i="41" s="1"/>
  <c r="G13" i="40"/>
  <c r="G63" i="40" s="1"/>
  <c r="F63" i="40" s="1"/>
  <c r="F21" i="40"/>
  <c r="I77" i="40"/>
  <c r="I80" i="40" s="1"/>
  <c r="I4" i="40" s="1"/>
  <c r="N21" i="37"/>
  <c r="H30" i="43" s="1"/>
  <c r="I30" i="43" s="1"/>
  <c r="I32" i="43" s="1"/>
  <c r="I47" i="43" s="1"/>
  <c r="I19" i="43" s="1"/>
  <c r="G418" i="40"/>
  <c r="G431" i="40" s="1"/>
  <c r="I431" i="41"/>
  <c r="I432" i="41" s="1"/>
  <c r="I437" i="41" s="1"/>
  <c r="I442" i="41" s="1"/>
  <c r="I61" i="41"/>
  <c r="I62" i="41" s="1"/>
  <c r="I416" i="40"/>
  <c r="I431" i="40" s="1"/>
  <c r="I432" i="40" s="1"/>
  <c r="H418" i="40"/>
  <c r="H50" i="40" s="1"/>
  <c r="G497" i="37"/>
  <c r="G413" i="37" s="1"/>
  <c r="G414" i="37" s="1"/>
  <c r="G505" i="37"/>
  <c r="G415" i="37" s="1"/>
  <c r="G418" i="37" s="1"/>
  <c r="N497" i="37"/>
  <c r="N413" i="37" s="1"/>
  <c r="N417" i="37" s="1"/>
  <c r="N49" i="37" s="1"/>
  <c r="I505" i="37"/>
  <c r="G431" i="41"/>
  <c r="G432" i="41" s="1"/>
  <c r="L505" i="37"/>
  <c r="L415" i="37" s="1"/>
  <c r="L416" i="37" s="1"/>
  <c r="N505" i="37"/>
  <c r="N415" i="37" s="1"/>
  <c r="N418" i="37" s="1"/>
  <c r="N50" i="37" s="1"/>
  <c r="H505" i="37"/>
  <c r="I497" i="37"/>
  <c r="I413" i="37" s="1"/>
  <c r="I414" i="37" s="1"/>
  <c r="I47" i="37" s="1"/>
  <c r="J497" i="37"/>
  <c r="J413" i="37" s="1"/>
  <c r="J417" i="37" s="1"/>
  <c r="J49" i="37" s="1"/>
  <c r="M497" i="37"/>
  <c r="M413" i="37" s="1"/>
  <c r="M414" i="37" s="1"/>
  <c r="M47" i="37" s="1"/>
  <c r="J418" i="37"/>
  <c r="J50" i="37" s="1"/>
  <c r="J416" i="37"/>
  <c r="K505" i="37"/>
  <c r="K415" i="37" s="1"/>
  <c r="Q497" i="37"/>
  <c r="M505" i="37"/>
  <c r="F417" i="41"/>
  <c r="F49" i="41" s="1"/>
  <c r="O417" i="37"/>
  <c r="O414" i="37"/>
  <c r="O47" i="37" s="1"/>
  <c r="P505" i="37"/>
  <c r="P497" i="37"/>
  <c r="P413" i="37" s="1"/>
  <c r="L414" i="37"/>
  <c r="L47" i="37" s="1"/>
  <c r="L417" i="37"/>
  <c r="L49" i="37" s="1"/>
  <c r="O505" i="37"/>
  <c r="H497" i="37"/>
  <c r="H413" i="37" s="1"/>
  <c r="K414" i="37"/>
  <c r="K47" i="37" s="1"/>
  <c r="K417" i="37"/>
  <c r="K49" i="37" s="1"/>
  <c r="K61" i="41"/>
  <c r="J61" i="41"/>
  <c r="G321" i="41"/>
  <c r="G320" i="41" s="1"/>
  <c r="G48" i="40"/>
  <c r="H48" i="40"/>
  <c r="F416" i="41"/>
  <c r="F48" i="41" s="1"/>
  <c r="J321" i="41"/>
  <c r="J320" i="41" s="1"/>
  <c r="J319" i="41" s="1"/>
  <c r="J431" i="41"/>
  <c r="J432" i="41" s="1"/>
  <c r="J464" i="41" s="1"/>
  <c r="J467" i="41" s="1"/>
  <c r="F414" i="41"/>
  <c r="F47" i="41" s="1"/>
  <c r="K321" i="41"/>
  <c r="K320" i="41" s="1"/>
  <c r="K319" i="41" s="1"/>
  <c r="H431" i="41"/>
  <c r="H432" i="41" s="1"/>
  <c r="H437" i="41" s="1"/>
  <c r="H442" i="41" s="1"/>
  <c r="H61" i="41"/>
  <c r="H62" i="41" s="1"/>
  <c r="H321" i="41"/>
  <c r="H320" i="41" s="1"/>
  <c r="H319" i="41" s="1"/>
  <c r="K431" i="41"/>
  <c r="K432" i="41" s="1"/>
  <c r="K437" i="41" s="1"/>
  <c r="K442" i="41" s="1"/>
  <c r="G61" i="41"/>
  <c r="J77" i="37"/>
  <c r="J80" i="37" s="1"/>
  <c r="J63" i="37"/>
  <c r="F13" i="41"/>
  <c r="G63" i="41"/>
  <c r="F63" i="41" s="1"/>
  <c r="G77" i="41"/>
  <c r="G13" i="37"/>
  <c r="K77" i="37"/>
  <c r="K80" i="37" s="1"/>
  <c r="K4" i="37" s="1"/>
  <c r="K63" i="37"/>
  <c r="K16" i="35"/>
  <c r="L16" i="35"/>
  <c r="J13" i="35"/>
  <c r="J12" i="35"/>
  <c r="M16" i="35"/>
  <c r="P63" i="37" l="1"/>
  <c r="O77" i="37"/>
  <c r="O80" i="37" s="1"/>
  <c r="O4" i="37" s="1"/>
  <c r="O63" i="37"/>
  <c r="J91" i="35"/>
  <c r="J9" i="35"/>
  <c r="J14" i="35"/>
  <c r="J11" i="35" s="1"/>
  <c r="J10" i="35"/>
  <c r="F2" i="34"/>
  <c r="F25" i="34" s="1"/>
  <c r="L15" i="37"/>
  <c r="L13" i="37" s="1"/>
  <c r="L63" i="37" s="1"/>
  <c r="F21" i="37"/>
  <c r="G50" i="40"/>
  <c r="G61" i="40" s="1"/>
  <c r="G321" i="40"/>
  <c r="G320" i="40" s="1"/>
  <c r="G77" i="40"/>
  <c r="F77" i="40" s="1"/>
  <c r="F416" i="40"/>
  <c r="F48" i="40" s="1"/>
  <c r="I321" i="40"/>
  <c r="I320" i="40" s="1"/>
  <c r="I319" i="40" s="1"/>
  <c r="J4" i="37"/>
  <c r="I21" i="35"/>
  <c r="L418" i="37"/>
  <c r="L50" i="37" s="1"/>
  <c r="F62" i="41"/>
  <c r="H64" i="41" s="1"/>
  <c r="F13" i="40"/>
  <c r="G16" i="35"/>
  <c r="I464" i="41"/>
  <c r="I467" i="41" s="1"/>
  <c r="N15" i="37"/>
  <c r="N13" i="37" s="1"/>
  <c r="N77" i="37" s="1"/>
  <c r="N80" i="37" s="1"/>
  <c r="N4" i="37" s="1"/>
  <c r="H61" i="40"/>
  <c r="H62" i="40" s="1"/>
  <c r="F62" i="40" s="1"/>
  <c r="I64" i="40" s="1"/>
  <c r="F418" i="40"/>
  <c r="F50" i="40" s="1"/>
  <c r="H321" i="40"/>
  <c r="H320" i="40" s="1"/>
  <c r="H319" i="40" s="1"/>
  <c r="H431" i="40"/>
  <c r="H432" i="40" s="1"/>
  <c r="H464" i="40" s="1"/>
  <c r="H467" i="40" s="1"/>
  <c r="I48" i="40"/>
  <c r="I61" i="40" s="1"/>
  <c r="G417" i="37"/>
  <c r="G49" i="37" s="1"/>
  <c r="I417" i="37"/>
  <c r="I321" i="37" s="1"/>
  <c r="N414" i="37"/>
  <c r="N47" i="37" s="1"/>
  <c r="N416" i="37"/>
  <c r="G416" i="37"/>
  <c r="G48" i="37" s="1"/>
  <c r="J414" i="37"/>
  <c r="J47" i="37" s="1"/>
  <c r="M417" i="37"/>
  <c r="M321" i="37" s="1"/>
  <c r="M320" i="37" s="1"/>
  <c r="M319" i="37" s="1"/>
  <c r="G50" i="37"/>
  <c r="G47" i="37"/>
  <c r="L48" i="37"/>
  <c r="O49" i="37"/>
  <c r="O61" i="37" s="1"/>
  <c r="O431" i="37"/>
  <c r="O432" i="37" s="1"/>
  <c r="O321" i="37"/>
  <c r="O320" i="37" s="1"/>
  <c r="O319" i="37" s="1"/>
  <c r="K418" i="37"/>
  <c r="K50" i="37" s="1"/>
  <c r="K416" i="37"/>
  <c r="H417" i="37"/>
  <c r="H414" i="37"/>
  <c r="H47" i="37" s="1"/>
  <c r="P417" i="37"/>
  <c r="P414" i="37"/>
  <c r="P47" i="37" s="1"/>
  <c r="J48" i="37"/>
  <c r="G432" i="40"/>
  <c r="I437" i="40"/>
  <c r="I442" i="40" s="1"/>
  <c r="I464" i="40"/>
  <c r="I467" i="40" s="1"/>
  <c r="J437" i="41"/>
  <c r="J442" i="41" s="1"/>
  <c r="J443" i="41" s="1"/>
  <c r="F61" i="41"/>
  <c r="K464" i="41"/>
  <c r="K467" i="41" s="1"/>
  <c r="H464" i="41"/>
  <c r="H467" i="41" s="1"/>
  <c r="F321" i="41"/>
  <c r="F431" i="41"/>
  <c r="G63" i="37"/>
  <c r="G77" i="37"/>
  <c r="K443" i="41"/>
  <c r="K444" i="41"/>
  <c r="I443" i="41"/>
  <c r="I444" i="41"/>
  <c r="H444" i="41"/>
  <c r="H443" i="41"/>
  <c r="F320" i="41"/>
  <c r="G319" i="41"/>
  <c r="F319" i="41" s="1"/>
  <c r="F432" i="41"/>
  <c r="G437" i="41"/>
  <c r="G464" i="41"/>
  <c r="G80" i="41"/>
  <c r="F77" i="41"/>
  <c r="G80" i="40" l="1"/>
  <c r="J27" i="35"/>
  <c r="J53" i="35" s="1"/>
  <c r="J92" i="35" s="1"/>
  <c r="F48" i="34"/>
  <c r="N25" i="34"/>
  <c r="L321" i="37"/>
  <c r="F15" i="37"/>
  <c r="L77" i="37"/>
  <c r="L80" i="37" s="1"/>
  <c r="L4" i="37" s="1"/>
  <c r="F61" i="40"/>
  <c r="J444" i="41"/>
  <c r="K64" i="41"/>
  <c r="L64" i="41"/>
  <c r="F13" i="37"/>
  <c r="I64" i="41"/>
  <c r="N64" i="41"/>
  <c r="J64" i="41"/>
  <c r="G64" i="41"/>
  <c r="M64" i="41"/>
  <c r="G64" i="40"/>
  <c r="N63" i="37"/>
  <c r="F63" i="37" s="1"/>
  <c r="F321" i="40"/>
  <c r="L64" i="40"/>
  <c r="K64" i="40"/>
  <c r="N64" i="40"/>
  <c r="J64" i="40"/>
  <c r="M64" i="40"/>
  <c r="H64" i="40"/>
  <c r="H437" i="40"/>
  <c r="H442" i="40" s="1"/>
  <c r="H444" i="40" s="1"/>
  <c r="F431" i="40"/>
  <c r="N321" i="37"/>
  <c r="I49" i="37"/>
  <c r="G321" i="37"/>
  <c r="F416" i="37"/>
  <c r="F48" i="37" s="1"/>
  <c r="N48" i="37"/>
  <c r="J321" i="37"/>
  <c r="M49" i="37"/>
  <c r="M61" i="37" s="1"/>
  <c r="M62" i="37" s="1"/>
  <c r="M431" i="37"/>
  <c r="M432" i="37" s="1"/>
  <c r="M464" i="37" s="1"/>
  <c r="M467" i="37" s="1"/>
  <c r="F417" i="37"/>
  <c r="F49" i="37" s="1"/>
  <c r="F414" i="37"/>
  <c r="F47" i="37" s="1"/>
  <c r="K48" i="37"/>
  <c r="K321" i="37"/>
  <c r="P321" i="37"/>
  <c r="P320" i="37" s="1"/>
  <c r="P319" i="37" s="1"/>
  <c r="P49" i="37"/>
  <c r="P61" i="37" s="1"/>
  <c r="P431" i="37"/>
  <c r="P432" i="37" s="1"/>
  <c r="F418" i="37"/>
  <c r="F50" i="37" s="1"/>
  <c r="H49" i="37"/>
  <c r="H61" i="37" s="1"/>
  <c r="H62" i="37" s="1"/>
  <c r="H431" i="37"/>
  <c r="H432" i="37" s="1"/>
  <c r="H321" i="37"/>
  <c r="H320" i="37" s="1"/>
  <c r="H319" i="37" s="1"/>
  <c r="O464" i="37"/>
  <c r="O467" i="37" s="1"/>
  <c r="O437" i="37"/>
  <c r="O442" i="37" s="1"/>
  <c r="G4" i="40"/>
  <c r="F4" i="40" s="1"/>
  <c r="F80" i="40"/>
  <c r="I443" i="40"/>
  <c r="I444" i="40"/>
  <c r="F320" i="40"/>
  <c r="G319" i="40"/>
  <c r="F319" i="40" s="1"/>
  <c r="G437" i="40"/>
  <c r="F432" i="40"/>
  <c r="G464" i="40"/>
  <c r="G4" i="41"/>
  <c r="F4" i="41" s="1"/>
  <c r="F80" i="41"/>
  <c r="G80" i="37"/>
  <c r="H21" i="35" s="1"/>
  <c r="G467" i="41"/>
  <c r="F467" i="41" s="1"/>
  <c r="F464" i="41"/>
  <c r="F437" i="41"/>
  <c r="F439" i="41" s="1"/>
  <c r="G442" i="41"/>
  <c r="F77" i="37" l="1"/>
  <c r="N48" i="34"/>
  <c r="F71" i="34"/>
  <c r="N71" i="34" s="1"/>
  <c r="F64" i="41"/>
  <c r="F65" i="41" s="1"/>
  <c r="L65" i="41" s="1"/>
  <c r="H443" i="40"/>
  <c r="F64" i="40"/>
  <c r="F65" i="40" s="1"/>
  <c r="H65" i="40" s="1"/>
  <c r="M437" i="37"/>
  <c r="M442" i="37" s="1"/>
  <c r="M443" i="37" s="1"/>
  <c r="F321" i="37"/>
  <c r="H464" i="37"/>
  <c r="H467" i="37" s="1"/>
  <c r="H437" i="37"/>
  <c r="H442" i="37" s="1"/>
  <c r="P437" i="37"/>
  <c r="P442" i="37" s="1"/>
  <c r="P464" i="37"/>
  <c r="P467" i="37" s="1"/>
  <c r="O444" i="37"/>
  <c r="O443" i="37"/>
  <c r="F464" i="40"/>
  <c r="G467" i="40"/>
  <c r="F467" i="40" s="1"/>
  <c r="F437" i="40"/>
  <c r="F439" i="40" s="1"/>
  <c r="G442" i="40"/>
  <c r="G4" i="37"/>
  <c r="F4" i="37" s="1"/>
  <c r="F80" i="37"/>
  <c r="F442" i="41"/>
  <c r="G444" i="41"/>
  <c r="F444" i="41" s="1"/>
  <c r="F454" i="41" s="1"/>
  <c r="G443" i="41"/>
  <c r="F443" i="41" s="1"/>
  <c r="G508" i="41"/>
  <c r="G511" i="41" s="1"/>
  <c r="E442" i="41" s="1"/>
  <c r="G509" i="41"/>
  <c r="G510" i="41"/>
  <c r="F94" i="34" l="1"/>
  <c r="N65" i="41"/>
  <c r="H65" i="41"/>
  <c r="G65" i="41"/>
  <c r="G66" i="41" s="1"/>
  <c r="M65" i="41"/>
  <c r="L65" i="40"/>
  <c r="K65" i="40"/>
  <c r="N65" i="40"/>
  <c r="M65" i="40"/>
  <c r="G65" i="40"/>
  <c r="G66" i="40" s="1"/>
  <c r="L59" i="37" s="1"/>
  <c r="L61" i="37" s="1"/>
  <c r="J65" i="40"/>
  <c r="M444" i="37"/>
  <c r="P444" i="37"/>
  <c r="P443" i="37"/>
  <c r="H444" i="37"/>
  <c r="H443" i="37"/>
  <c r="G444" i="40"/>
  <c r="F444" i="40" s="1"/>
  <c r="F454" i="40" s="1"/>
  <c r="G443" i="40"/>
  <c r="F443" i="40" s="1"/>
  <c r="F442" i="40"/>
  <c r="G508" i="40"/>
  <c r="G511" i="40" s="1"/>
  <c r="E442" i="40" s="1"/>
  <c r="G510" i="40"/>
  <c r="G509" i="40"/>
  <c r="I65" i="41"/>
  <c r="I66" i="41" s="1"/>
  <c r="I59" i="37" s="1"/>
  <c r="E452" i="41"/>
  <c r="F452" i="41" s="1"/>
  <c r="E443" i="41"/>
  <c r="E453" i="41" s="1"/>
  <c r="F453" i="41" s="1"/>
  <c r="H454" i="41"/>
  <c r="K454" i="41"/>
  <c r="J454" i="41"/>
  <c r="I454" i="41"/>
  <c r="F117" i="34"/>
  <c r="N94" i="34"/>
  <c r="J65" i="41" l="1"/>
  <c r="J66" i="41" s="1"/>
  <c r="L428" i="37"/>
  <c r="L431" i="37" s="1"/>
  <c r="L432" i="37" s="1"/>
  <c r="L464" i="37" s="1"/>
  <c r="L467" i="37" s="1"/>
  <c r="G67" i="40"/>
  <c r="G71" i="40" s="1"/>
  <c r="L62" i="37"/>
  <c r="I65" i="40"/>
  <c r="I66" i="40" s="1"/>
  <c r="N59" i="37" s="1"/>
  <c r="N61" i="37" s="1"/>
  <c r="N62" i="37" s="1"/>
  <c r="I454" i="40"/>
  <c r="H454" i="40"/>
  <c r="E443" i="40"/>
  <c r="E453" i="40" s="1"/>
  <c r="F453" i="40" s="1"/>
  <c r="E452" i="40"/>
  <c r="F452" i="40" s="1"/>
  <c r="I67" i="41"/>
  <c r="I71" i="41" s="1"/>
  <c r="G454" i="41"/>
  <c r="J453" i="41"/>
  <c r="J326" i="41" s="1"/>
  <c r="I453" i="41"/>
  <c r="I326" i="41" s="1"/>
  <c r="H453" i="41"/>
  <c r="H326" i="41" s="1"/>
  <c r="K453" i="41"/>
  <c r="K326" i="41" s="1"/>
  <c r="H452" i="41"/>
  <c r="K452" i="41"/>
  <c r="I452" i="41"/>
  <c r="J452" i="41"/>
  <c r="G67" i="41"/>
  <c r="G71" i="41" s="1"/>
  <c r="G59" i="37"/>
  <c r="I61" i="37"/>
  <c r="I62" i="37"/>
  <c r="I428" i="37"/>
  <c r="N117" i="34"/>
  <c r="F140" i="34"/>
  <c r="K65" i="41" l="1"/>
  <c r="K66" i="41" s="1"/>
  <c r="F66" i="41" s="1"/>
  <c r="L437" i="37"/>
  <c r="L442" i="37" s="1"/>
  <c r="L444" i="37" s="1"/>
  <c r="L322" i="37"/>
  <c r="N428" i="37"/>
  <c r="N323" i="37" s="1"/>
  <c r="L323" i="37"/>
  <c r="N66" i="37"/>
  <c r="F66" i="40"/>
  <c r="I67" i="40"/>
  <c r="I71" i="40" s="1"/>
  <c r="F71" i="40" s="1"/>
  <c r="G454" i="40"/>
  <c r="I453" i="40"/>
  <c r="I326" i="40" s="1"/>
  <c r="H453" i="40"/>
  <c r="H326" i="40" s="1"/>
  <c r="H452" i="40"/>
  <c r="I452" i="40"/>
  <c r="H463" i="41"/>
  <c r="H69" i="41" s="1"/>
  <c r="H70" i="41" s="1"/>
  <c r="I463" i="41"/>
  <c r="I69" i="41" s="1"/>
  <c r="I70" i="41" s="1"/>
  <c r="G452" i="41"/>
  <c r="K463" i="41"/>
  <c r="K465" i="41" s="1"/>
  <c r="J463" i="41"/>
  <c r="J69" i="41" s="1"/>
  <c r="G62" i="37"/>
  <c r="G61" i="37"/>
  <c r="G428" i="37"/>
  <c r="I431" i="37"/>
  <c r="I432" i="37" s="1"/>
  <c r="I437" i="37" s="1"/>
  <c r="I323" i="37"/>
  <c r="I322" i="37"/>
  <c r="J67" i="41"/>
  <c r="J59" i="37"/>
  <c r="G453" i="41"/>
  <c r="G326" i="41" s="1"/>
  <c r="F326" i="41" s="1"/>
  <c r="F163" i="34"/>
  <c r="N163" i="34" s="1"/>
  <c r="N140" i="34"/>
  <c r="K80" i="35"/>
  <c r="K83" i="35"/>
  <c r="K47" i="35"/>
  <c r="K89" i="35"/>
  <c r="K81" i="35"/>
  <c r="K87" i="35"/>
  <c r="K50" i="35"/>
  <c r="K79" i="35"/>
  <c r="K51" i="35"/>
  <c r="K85" i="35"/>
  <c r="K86" i="35"/>
  <c r="K88" i="35"/>
  <c r="K48" i="35"/>
  <c r="K49" i="35"/>
  <c r="K82" i="35"/>
  <c r="H465" i="41" l="1"/>
  <c r="H471" i="41" s="1"/>
  <c r="K59" i="37"/>
  <c r="K61" i="37" s="1"/>
  <c r="K67" i="41"/>
  <c r="K70" i="41" s="1"/>
  <c r="N322" i="37"/>
  <c r="N320" i="37" s="1"/>
  <c r="N319" i="37" s="1"/>
  <c r="J2" i="34"/>
  <c r="F2" i="43" s="1"/>
  <c r="F25" i="43" s="1"/>
  <c r="N431" i="37"/>
  <c r="N432" i="37" s="1"/>
  <c r="N464" i="37" s="1"/>
  <c r="N467" i="37" s="1"/>
  <c r="L443" i="37"/>
  <c r="L320" i="37"/>
  <c r="L319" i="37" s="1"/>
  <c r="N67" i="37"/>
  <c r="N71" i="37" s="1"/>
  <c r="L17" i="35"/>
  <c r="K78" i="35"/>
  <c r="K84" i="35"/>
  <c r="I20" i="43"/>
  <c r="F67" i="40"/>
  <c r="I70" i="40"/>
  <c r="I463" i="40"/>
  <c r="I69" i="40" s="1"/>
  <c r="H463" i="40"/>
  <c r="H465" i="40" s="1"/>
  <c r="G452" i="40"/>
  <c r="G453" i="40"/>
  <c r="G326" i="40" s="1"/>
  <c r="F326" i="40" s="1"/>
  <c r="J465" i="41"/>
  <c r="J471" i="41" s="1"/>
  <c r="I464" i="37"/>
  <c r="I467" i="37" s="1"/>
  <c r="K69" i="41"/>
  <c r="I465" i="41"/>
  <c r="I466" i="41" s="1"/>
  <c r="G463" i="41"/>
  <c r="J71" i="41"/>
  <c r="J70" i="41"/>
  <c r="F67" i="41"/>
  <c r="I320" i="37"/>
  <c r="I319" i="37" s="1"/>
  <c r="G431" i="37"/>
  <c r="G432" i="37" s="1"/>
  <c r="G323" i="37"/>
  <c r="G322" i="37"/>
  <c r="K466" i="41"/>
  <c r="K471" i="41"/>
  <c r="K71" i="41"/>
  <c r="J62" i="37"/>
  <c r="J61" i="37"/>
  <c r="J428" i="37"/>
  <c r="I442" i="37"/>
  <c r="K12" i="35"/>
  <c r="K13" i="35"/>
  <c r="J466" i="41" l="1"/>
  <c r="H466" i="41"/>
  <c r="F61" i="37"/>
  <c r="K62" i="37"/>
  <c r="F62" i="37" s="1"/>
  <c r="N64" i="37" s="1"/>
  <c r="K428" i="37"/>
  <c r="K323" i="37" s="1"/>
  <c r="F59" i="37"/>
  <c r="K14" i="35"/>
  <c r="K11" i="35" s="1"/>
  <c r="K9" i="35"/>
  <c r="K10" i="35"/>
  <c r="I465" i="40"/>
  <c r="I471" i="40" s="1"/>
  <c r="N437" i="37"/>
  <c r="N442" i="37" s="1"/>
  <c r="N443" i="37" s="1"/>
  <c r="K91" i="35"/>
  <c r="H69" i="40"/>
  <c r="H70" i="40" s="1"/>
  <c r="H466" i="40"/>
  <c r="H471" i="40"/>
  <c r="G463" i="40"/>
  <c r="I471" i="41"/>
  <c r="F71" i="41"/>
  <c r="G320" i="37"/>
  <c r="G319" i="37" s="1"/>
  <c r="G437" i="37"/>
  <c r="G464" i="37"/>
  <c r="G467" i="37" s="1"/>
  <c r="J323" i="37"/>
  <c r="J322" i="37"/>
  <c r="J431" i="37"/>
  <c r="G465" i="41"/>
  <c r="G69" i="41"/>
  <c r="G70" i="41" s="1"/>
  <c r="F70" i="41" s="1"/>
  <c r="F463" i="41"/>
  <c r="F69" i="41" s="1"/>
  <c r="F48" i="43"/>
  <c r="N25" i="43"/>
  <c r="I444" i="37"/>
  <c r="I443" i="37"/>
  <c r="F428" i="37" l="1"/>
  <c r="K322" i="37"/>
  <c r="K320" i="37" s="1"/>
  <c r="K319" i="37" s="1"/>
  <c r="K431" i="37"/>
  <c r="K432" i="37" s="1"/>
  <c r="K464" i="37" s="1"/>
  <c r="K467" i="37" s="1"/>
  <c r="I466" i="40"/>
  <c r="N444" i="37"/>
  <c r="K27" i="35"/>
  <c r="K53" i="35" s="1"/>
  <c r="K92" i="35" s="1"/>
  <c r="F463" i="40"/>
  <c r="F69" i="40" s="1"/>
  <c r="G465" i="40"/>
  <c r="G69" i="40"/>
  <c r="K64" i="37"/>
  <c r="G64" i="37"/>
  <c r="I64" i="37"/>
  <c r="J64" i="37"/>
  <c r="M64" i="37"/>
  <c r="H64" i="37"/>
  <c r="O64" i="37"/>
  <c r="P64" i="37"/>
  <c r="L64" i="37"/>
  <c r="Q64" i="37"/>
  <c r="J320" i="37"/>
  <c r="J319" i="37" s="1"/>
  <c r="L72" i="41"/>
  <c r="G72" i="41"/>
  <c r="I72" i="41"/>
  <c r="N72" i="41"/>
  <c r="H72" i="41"/>
  <c r="M72" i="41"/>
  <c r="K72" i="41"/>
  <c r="J72" i="41"/>
  <c r="G466" i="41"/>
  <c r="F465" i="41"/>
  <c r="G471" i="41"/>
  <c r="G442" i="37"/>
  <c r="J432" i="37"/>
  <c r="F323" i="37"/>
  <c r="F71" i="43"/>
  <c r="N48" i="43"/>
  <c r="K437" i="37" l="1"/>
  <c r="K442" i="37" s="1"/>
  <c r="K444" i="37" s="1"/>
  <c r="F322" i="37"/>
  <c r="F431" i="37"/>
  <c r="G70" i="40"/>
  <c r="F70" i="40" s="1"/>
  <c r="F465" i="40"/>
  <c r="G471" i="40"/>
  <c r="G466" i="40"/>
  <c r="F64" i="37"/>
  <c r="F65" i="37" s="1"/>
  <c r="G65" i="37" s="1"/>
  <c r="G66" i="37" s="1"/>
  <c r="H17" i="35" s="1"/>
  <c r="F319" i="37"/>
  <c r="F320" i="37"/>
  <c r="J464" i="37"/>
  <c r="J437" i="37"/>
  <c r="F432" i="37"/>
  <c r="G444" i="37"/>
  <c r="G443" i="37"/>
  <c r="F72" i="41"/>
  <c r="F73" i="41" s="1"/>
  <c r="E469" i="41"/>
  <c r="N71" i="43"/>
  <c r="F94" i="43"/>
  <c r="N70" i="37"/>
  <c r="L21" i="35" s="1"/>
  <c r="K443" i="37" l="1"/>
  <c r="O65" i="37"/>
  <c r="O66" i="37" s="1"/>
  <c r="M17" i="35" s="1"/>
  <c r="L65" i="37"/>
  <c r="L66" i="37" s="1"/>
  <c r="K17" i="35" s="1"/>
  <c r="M65" i="37"/>
  <c r="I20" i="1"/>
  <c r="J65" i="37"/>
  <c r="J66" i="37" s="1"/>
  <c r="N65" i="37"/>
  <c r="P65" i="37"/>
  <c r="P66" i="37" s="1"/>
  <c r="N17" i="35" s="1"/>
  <c r="Q65" i="37"/>
  <c r="K65" i="37"/>
  <c r="K66" i="37" s="1"/>
  <c r="G67" i="37"/>
  <c r="G71" i="37" s="1"/>
  <c r="I65" i="37"/>
  <c r="I66" i="37" s="1"/>
  <c r="H65" i="37"/>
  <c r="E469" i="40"/>
  <c r="J72" i="40"/>
  <c r="K72" i="40"/>
  <c r="N72" i="40"/>
  <c r="I72" i="40"/>
  <c r="H72" i="40"/>
  <c r="L72" i="40"/>
  <c r="M72" i="40"/>
  <c r="G72" i="40"/>
  <c r="J442" i="37"/>
  <c r="F437" i="37"/>
  <c r="F439" i="37" s="1"/>
  <c r="J467" i="37"/>
  <c r="F467" i="37" s="1"/>
  <c r="F464" i="37"/>
  <c r="E470" i="41"/>
  <c r="F470" i="41" s="1"/>
  <c r="M73" i="41"/>
  <c r="L73" i="41"/>
  <c r="N73" i="41"/>
  <c r="G73" i="41"/>
  <c r="H73" i="41"/>
  <c r="F117" i="43"/>
  <c r="N94" i="43"/>
  <c r="I20" i="44" l="1"/>
  <c r="J17" i="35"/>
  <c r="J67" i="37"/>
  <c r="J71" i="37" s="1"/>
  <c r="I17" i="35"/>
  <c r="P67" i="37"/>
  <c r="P71" i="37" s="1"/>
  <c r="O67" i="37"/>
  <c r="O71" i="37" s="1"/>
  <c r="I20" i="34"/>
  <c r="K67" i="37"/>
  <c r="K71" i="37" s="1"/>
  <c r="L67" i="37"/>
  <c r="L71" i="37" s="1"/>
  <c r="I20" i="42"/>
  <c r="F66" i="37"/>
  <c r="I67" i="37"/>
  <c r="I71" i="37" s="1"/>
  <c r="F72" i="40"/>
  <c r="F73" i="40" s="1"/>
  <c r="E470" i="40"/>
  <c r="F470" i="40" s="1"/>
  <c r="G74" i="41"/>
  <c r="G75" i="41" s="1"/>
  <c r="E471" i="41"/>
  <c r="G510" i="37"/>
  <c r="G508" i="37"/>
  <c r="G511" i="37" s="1"/>
  <c r="E442" i="37" s="1"/>
  <c r="G509" i="37"/>
  <c r="I73" i="41"/>
  <c r="I74" i="41" s="1"/>
  <c r="I75" i="41" s="1"/>
  <c r="J444" i="37"/>
  <c r="J443" i="37"/>
  <c r="F442" i="37"/>
  <c r="N117" i="43"/>
  <c r="F140" i="43"/>
  <c r="J70" i="37" l="1"/>
  <c r="P70" i="37"/>
  <c r="N21" i="35" s="1"/>
  <c r="G17" i="35"/>
  <c r="F71" i="37"/>
  <c r="K70" i="37"/>
  <c r="J21" i="35" s="1"/>
  <c r="F67" i="37"/>
  <c r="E471" i="40"/>
  <c r="K470" i="40" s="1"/>
  <c r="K468" i="40" s="1"/>
  <c r="K469" i="40" s="1"/>
  <c r="G73" i="40"/>
  <c r="G74" i="40" s="1"/>
  <c r="K73" i="40"/>
  <c r="J73" i="40"/>
  <c r="N73" i="40"/>
  <c r="L73" i="40"/>
  <c r="M73" i="40"/>
  <c r="H73" i="40"/>
  <c r="J470" i="41"/>
  <c r="J468" i="41" s="1"/>
  <c r="J469" i="41" s="1"/>
  <c r="J325" i="41" s="1"/>
  <c r="J324" i="41" s="1"/>
  <c r="J318" i="41" s="1"/>
  <c r="J329" i="41" s="1"/>
  <c r="N470" i="41"/>
  <c r="N468" i="41" s="1"/>
  <c r="N469" i="41" s="1"/>
  <c r="H470" i="41"/>
  <c r="H468" i="41" s="1"/>
  <c r="H469" i="41" s="1"/>
  <c r="H325" i="41" s="1"/>
  <c r="H324" i="41" s="1"/>
  <c r="H318" i="41" s="1"/>
  <c r="H329" i="41" s="1"/>
  <c r="M470" i="41"/>
  <c r="M468" i="41" s="1"/>
  <c r="M469" i="41" s="1"/>
  <c r="L470" i="41"/>
  <c r="L468" i="41" s="1"/>
  <c r="L469" i="41" s="1"/>
  <c r="I470" i="41"/>
  <c r="I468" i="41" s="1"/>
  <c r="I469" i="41" s="1"/>
  <c r="I325" i="41" s="1"/>
  <c r="I324" i="41" s="1"/>
  <c r="I318" i="41" s="1"/>
  <c r="I329" i="41" s="1"/>
  <c r="K470" i="41"/>
  <c r="K468" i="41" s="1"/>
  <c r="K469" i="41" s="1"/>
  <c r="K325" i="41" s="1"/>
  <c r="K324" i="41" s="1"/>
  <c r="K318" i="41" s="1"/>
  <c r="K329" i="41" s="1"/>
  <c r="F471" i="41"/>
  <c r="I79" i="41"/>
  <c r="I76" i="41"/>
  <c r="I78" i="41" s="1"/>
  <c r="F443" i="37"/>
  <c r="E452" i="37"/>
  <c r="F452" i="37" s="1"/>
  <c r="E443" i="37"/>
  <c r="E453" i="37" s="1"/>
  <c r="J73" i="41"/>
  <c r="J74" i="41" s="1"/>
  <c r="J75" i="41" s="1"/>
  <c r="F444" i="37"/>
  <c r="F454" i="37" s="1"/>
  <c r="G79" i="41"/>
  <c r="G76" i="41"/>
  <c r="G78" i="41" s="1"/>
  <c r="O70" i="37"/>
  <c r="M21" i="35" s="1"/>
  <c r="N140" i="43"/>
  <c r="F163" i="43"/>
  <c r="N163" i="43" s="1"/>
  <c r="J16" i="43"/>
  <c r="L80" i="35"/>
  <c r="L49" i="35"/>
  <c r="L85" i="35"/>
  <c r="L81" i="35"/>
  <c r="L47" i="35"/>
  <c r="L50" i="35"/>
  <c r="L88" i="35"/>
  <c r="L86" i="35"/>
  <c r="L87" i="35"/>
  <c r="L51" i="35"/>
  <c r="L48" i="35"/>
  <c r="L83" i="35"/>
  <c r="L79" i="35"/>
  <c r="L82" i="35"/>
  <c r="L89" i="35"/>
  <c r="J2" i="43" l="1"/>
  <c r="F2" i="49" s="1"/>
  <c r="L78" i="35"/>
  <c r="L84" i="35"/>
  <c r="F471" i="40"/>
  <c r="L470" i="40"/>
  <c r="L468" i="40" s="1"/>
  <c r="L469" i="40" s="1"/>
  <c r="J470" i="40"/>
  <c r="J468" i="40" s="1"/>
  <c r="J469" i="40" s="1"/>
  <c r="I470" i="40"/>
  <c r="I468" i="40" s="1"/>
  <c r="I469" i="40" s="1"/>
  <c r="I325" i="40" s="1"/>
  <c r="I324" i="40" s="1"/>
  <c r="I318" i="40" s="1"/>
  <c r="I329" i="40" s="1"/>
  <c r="M470" i="40"/>
  <c r="M468" i="40" s="1"/>
  <c r="M469" i="40" s="1"/>
  <c r="H470" i="40"/>
  <c r="H468" i="40" s="1"/>
  <c r="H469" i="40" s="1"/>
  <c r="H325" i="40" s="1"/>
  <c r="H324" i="40" s="1"/>
  <c r="H318" i="40" s="1"/>
  <c r="H329" i="40" s="1"/>
  <c r="N470" i="40"/>
  <c r="N468" i="40" s="1"/>
  <c r="N469" i="40" s="1"/>
  <c r="I73" i="40"/>
  <c r="I74" i="40" s="1"/>
  <c r="I75" i="40" s="1"/>
  <c r="N454" i="37"/>
  <c r="L454" i="37"/>
  <c r="L452" i="37"/>
  <c r="N452" i="37"/>
  <c r="G75" i="40"/>
  <c r="F453" i="37"/>
  <c r="H453" i="37" s="1"/>
  <c r="G470" i="41"/>
  <c r="G468" i="41" s="1"/>
  <c r="G469" i="41" s="1"/>
  <c r="G325" i="41" s="1"/>
  <c r="G6" i="41"/>
  <c r="G81" i="41"/>
  <c r="G5" i="41" s="1"/>
  <c r="P452" i="37"/>
  <c r="M452" i="37"/>
  <c r="H452" i="37"/>
  <c r="I452" i="37"/>
  <c r="O452" i="37"/>
  <c r="K452" i="37"/>
  <c r="J452" i="37"/>
  <c r="I81" i="41"/>
  <c r="I5" i="41" s="1"/>
  <c r="I6" i="41"/>
  <c r="P454" i="37"/>
  <c r="O454" i="37"/>
  <c r="M454" i="37"/>
  <c r="K454" i="37"/>
  <c r="H454" i="37"/>
  <c r="I454" i="37"/>
  <c r="J454" i="37"/>
  <c r="K73" i="41"/>
  <c r="K74" i="41" s="1"/>
  <c r="K75" i="41" s="1"/>
  <c r="J76" i="41"/>
  <c r="J78" i="41" s="1"/>
  <c r="J79" i="41"/>
  <c r="K16" i="43"/>
  <c r="L12" i="35"/>
  <c r="L13" i="35"/>
  <c r="F468" i="41" l="1"/>
  <c r="L14" i="35"/>
  <c r="L11" i="35" s="1"/>
  <c r="L9" i="35"/>
  <c r="L10" i="35"/>
  <c r="L91" i="35"/>
  <c r="F74" i="40"/>
  <c r="G470" i="40"/>
  <c r="G468" i="40" s="1"/>
  <c r="G452" i="37"/>
  <c r="I79" i="40"/>
  <c r="I76" i="40"/>
  <c r="I78" i="40" s="1"/>
  <c r="H463" i="37"/>
  <c r="H69" i="37" s="1"/>
  <c r="H70" i="37" s="1"/>
  <c r="I453" i="37"/>
  <c r="I326" i="37" s="1"/>
  <c r="L453" i="37"/>
  <c r="L326" i="37" s="1"/>
  <c r="N453" i="37"/>
  <c r="N326" i="37" s="1"/>
  <c r="G454" i="37"/>
  <c r="G76" i="40"/>
  <c r="G79" i="40"/>
  <c r="F75" i="40"/>
  <c r="M453" i="37"/>
  <c r="M326" i="37" s="1"/>
  <c r="K453" i="37"/>
  <c r="K326" i="37" s="1"/>
  <c r="P453" i="37"/>
  <c r="P326" i="37" s="1"/>
  <c r="O453" i="37"/>
  <c r="O326" i="37" s="1"/>
  <c r="J453" i="37"/>
  <c r="J326" i="37" s="1"/>
  <c r="H326" i="37"/>
  <c r="F74" i="41"/>
  <c r="J6" i="41"/>
  <c r="J81" i="41"/>
  <c r="F75" i="41"/>
  <c r="K76" i="41"/>
  <c r="K79" i="41"/>
  <c r="G324" i="41"/>
  <c r="F325" i="41"/>
  <c r="F25" i="49"/>
  <c r="N25" i="49" s="1"/>
  <c r="J2" i="49" s="1"/>
  <c r="M85" i="35"/>
  <c r="M89" i="35"/>
  <c r="M48" i="35"/>
  <c r="M86" i="35"/>
  <c r="M50" i="35"/>
  <c r="M81" i="35"/>
  <c r="M80" i="35"/>
  <c r="M87" i="35"/>
  <c r="M82" i="35"/>
  <c r="M88" i="35"/>
  <c r="M49" i="35"/>
  <c r="M83" i="35"/>
  <c r="M79" i="35"/>
  <c r="M51" i="35"/>
  <c r="M47" i="35"/>
  <c r="L27" i="35" l="1"/>
  <c r="I463" i="37"/>
  <c r="I465" i="37" s="1"/>
  <c r="I466" i="37" s="1"/>
  <c r="M84" i="35"/>
  <c r="G47" i="35"/>
  <c r="G49" i="35"/>
  <c r="M78" i="35"/>
  <c r="G48" i="35"/>
  <c r="G51" i="35"/>
  <c r="G50" i="35"/>
  <c r="J16" i="49"/>
  <c r="F468" i="40"/>
  <c r="G469" i="40"/>
  <c r="G325" i="40" s="1"/>
  <c r="G453" i="37"/>
  <c r="G463" i="37" s="1"/>
  <c r="M463" i="37"/>
  <c r="M69" i="37" s="1"/>
  <c r="M70" i="37" s="1"/>
  <c r="K463" i="37"/>
  <c r="G78" i="40"/>
  <c r="F78" i="40" s="1"/>
  <c r="F76" i="40"/>
  <c r="H465" i="37"/>
  <c r="H466" i="37" s="1"/>
  <c r="J463" i="37"/>
  <c r="L463" i="37"/>
  <c r="P463" i="37"/>
  <c r="I6" i="40"/>
  <c r="I81" i="40"/>
  <c r="I5" i="40" s="1"/>
  <c r="G81" i="40"/>
  <c r="F79" i="40"/>
  <c r="G6" i="40"/>
  <c r="O463" i="37"/>
  <c r="N463" i="37"/>
  <c r="J5" i="41"/>
  <c r="G318" i="41"/>
  <c r="F324" i="41"/>
  <c r="K6" i="41"/>
  <c r="F6" i="41" s="1"/>
  <c r="K81" i="41"/>
  <c r="K5" i="41" s="1"/>
  <c r="K78" i="41"/>
  <c r="F78" i="41" s="1"/>
  <c r="F76" i="41"/>
  <c r="F79" i="41"/>
  <c r="K16" i="49"/>
  <c r="F2" i="50"/>
  <c r="M12" i="35"/>
  <c r="M13" i="35"/>
  <c r="F6" i="40" l="1"/>
  <c r="H471" i="37"/>
  <c r="L53" i="35"/>
  <c r="L92" i="35" s="1"/>
  <c r="I69" i="37"/>
  <c r="I70" i="37" s="1"/>
  <c r="I471" i="37"/>
  <c r="M10" i="35"/>
  <c r="M9" i="35"/>
  <c r="M14" i="35"/>
  <c r="M11" i="35" s="1"/>
  <c r="M91" i="35"/>
  <c r="F25" i="50"/>
  <c r="N25" i="50" s="1"/>
  <c r="G326" i="37"/>
  <c r="F326" i="37" s="1"/>
  <c r="G324" i="40"/>
  <c r="F325" i="40"/>
  <c r="M465" i="37"/>
  <c r="M466" i="37" s="1"/>
  <c r="O69" i="37"/>
  <c r="O465" i="37"/>
  <c r="J465" i="37"/>
  <c r="J69" i="37"/>
  <c r="K69" i="37"/>
  <c r="K465" i="37"/>
  <c r="P465" i="37"/>
  <c r="P69" i="37"/>
  <c r="N69" i="37"/>
  <c r="N465" i="37"/>
  <c r="F81" i="40"/>
  <c r="G5" i="40"/>
  <c r="F5" i="40" s="1"/>
  <c r="L465" i="37"/>
  <c r="L69" i="37"/>
  <c r="L70" i="37" s="1"/>
  <c r="G69" i="37"/>
  <c r="G70" i="37" s="1"/>
  <c r="G465" i="37"/>
  <c r="F463" i="37"/>
  <c r="F69" i="37" s="1"/>
  <c r="F5" i="41"/>
  <c r="F81" i="41"/>
  <c r="F318" i="41"/>
  <c r="G329" i="41"/>
  <c r="F329" i="41" s="1"/>
  <c r="N89" i="35"/>
  <c r="N82" i="35"/>
  <c r="N47" i="35"/>
  <c r="N88" i="35"/>
  <c r="N50" i="35"/>
  <c r="N81" i="35"/>
  <c r="N48" i="35"/>
  <c r="N87" i="35"/>
  <c r="N49" i="35"/>
  <c r="N51" i="35"/>
  <c r="N83" i="35"/>
  <c r="N79" i="35"/>
  <c r="N80" i="35"/>
  <c r="N86" i="35"/>
  <c r="N85" i="35"/>
  <c r="K16" i="50" l="1"/>
  <c r="J2" i="50"/>
  <c r="H18" i="8" s="1"/>
  <c r="K21" i="35"/>
  <c r="G21" i="35" s="1"/>
  <c r="J16" i="50"/>
  <c r="M27" i="35"/>
  <c r="M53" i="35" s="1"/>
  <c r="N84" i="35"/>
  <c r="N78" i="35"/>
  <c r="G85" i="35"/>
  <c r="G89" i="35"/>
  <c r="G81" i="35"/>
  <c r="G88" i="35"/>
  <c r="G80" i="35"/>
  <c r="G86" i="35"/>
  <c r="G87" i="35"/>
  <c r="G83" i="35"/>
  <c r="G79" i="35"/>
  <c r="G82" i="35"/>
  <c r="G318" i="40"/>
  <c r="F324" i="40"/>
  <c r="M471" i="37"/>
  <c r="F70" i="37"/>
  <c r="G72" i="37" s="1"/>
  <c r="G471" i="37"/>
  <c r="G466" i="37"/>
  <c r="F465" i="37"/>
  <c r="K471" i="37"/>
  <c r="K466" i="37"/>
  <c r="O471" i="37"/>
  <c r="O466" i="37"/>
  <c r="L466" i="37"/>
  <c r="L471" i="37"/>
  <c r="P471" i="37"/>
  <c r="P466" i="37"/>
  <c r="J466" i="37"/>
  <c r="J471" i="37"/>
  <c r="N466" i="37"/>
  <c r="N471" i="37"/>
  <c r="N13" i="35"/>
  <c r="N12" i="35"/>
  <c r="N10" i="35" l="1"/>
  <c r="N14" i="35"/>
  <c r="N11" i="35" s="1"/>
  <c r="N9" i="35"/>
  <c r="N91" i="35"/>
  <c r="G91" i="35" s="1"/>
  <c r="G12" i="35"/>
  <c r="G13" i="35"/>
  <c r="G78" i="35"/>
  <c r="G84" i="35"/>
  <c r="M92" i="35"/>
  <c r="N72" i="37"/>
  <c r="M72" i="37"/>
  <c r="H72" i="37"/>
  <c r="Q72" i="37"/>
  <c r="P72" i="37"/>
  <c r="K72" i="37"/>
  <c r="O72" i="37"/>
  <c r="I72" i="37"/>
  <c r="L72" i="37"/>
  <c r="J72" i="37"/>
  <c r="G329" i="40"/>
  <c r="F329" i="40" s="1"/>
  <c r="F318" i="40"/>
  <c r="E469" i="37"/>
  <c r="N27" i="35" l="1"/>
  <c r="G9" i="35"/>
  <c r="H27" i="8"/>
  <c r="H25" i="6"/>
  <c r="G14" i="35"/>
  <c r="G10" i="35"/>
  <c r="F72" i="37"/>
  <c r="F73" i="37" s="1"/>
  <c r="G73" i="37" s="1"/>
  <c r="E470" i="37"/>
  <c r="F470" i="37" s="1"/>
  <c r="N53" i="35" l="1"/>
  <c r="N92" i="35" s="1"/>
  <c r="G27" i="35"/>
  <c r="G11" i="35"/>
  <c r="H48" i="6"/>
  <c r="J48" i="6" s="1"/>
  <c r="H2" i="49"/>
  <c r="H25" i="49" s="1"/>
  <c r="H2" i="50"/>
  <c r="H25" i="50" s="1"/>
  <c r="H2" i="43"/>
  <c r="H25" i="43" s="1"/>
  <c r="H48" i="43" s="1"/>
  <c r="H71" i="43" s="1"/>
  <c r="H94" i="43" s="1"/>
  <c r="H117" i="43" s="1"/>
  <c r="H140" i="43" s="1"/>
  <c r="H163" i="43" s="1"/>
  <c r="H2" i="42"/>
  <c r="H25" i="42" s="1"/>
  <c r="H48" i="42" s="1"/>
  <c r="H71" i="42" s="1"/>
  <c r="H94" i="42" s="1"/>
  <c r="H117" i="42" s="1"/>
  <c r="H2" i="33"/>
  <c r="H25" i="33" s="1"/>
  <c r="H2" i="34"/>
  <c r="H25" i="34" s="1"/>
  <c r="H48" i="34" s="1"/>
  <c r="H71" i="34" s="1"/>
  <c r="H94" i="34" s="1"/>
  <c r="H117" i="34" s="1"/>
  <c r="H140" i="34" s="1"/>
  <c r="H163" i="34" s="1"/>
  <c r="H71" i="6"/>
  <c r="J71" i="6" s="1"/>
  <c r="H2" i="1"/>
  <c r="H25" i="1" s="1"/>
  <c r="H48" i="1" s="1"/>
  <c r="H71" i="1" s="1"/>
  <c r="H94" i="1" s="1"/>
  <c r="H117" i="1" s="1"/>
  <c r="H140" i="1" s="1"/>
  <c r="H2" i="9"/>
  <c r="H25" i="9" s="1"/>
  <c r="H94" i="6"/>
  <c r="J94" i="6" s="1"/>
  <c r="H2" i="44"/>
  <c r="H25" i="44" s="1"/>
  <c r="H73" i="37"/>
  <c r="I73" i="37" s="1"/>
  <c r="I74" i="37" s="1"/>
  <c r="M73" i="37"/>
  <c r="Q73" i="37"/>
  <c r="E471" i="37"/>
  <c r="H470" i="37" s="1"/>
  <c r="H468" i="37" s="1"/>
  <c r="H469" i="37" s="1"/>
  <c r="H325" i="37" s="1"/>
  <c r="H324" i="37" s="1"/>
  <c r="H318" i="37" s="1"/>
  <c r="H329" i="37" s="1"/>
  <c r="G74" i="37"/>
  <c r="H18" i="35" s="1"/>
  <c r="J73" i="37"/>
  <c r="J74" i="37" s="1"/>
  <c r="I18" i="35" s="1"/>
  <c r="H48" i="9" l="1"/>
  <c r="H71" i="9"/>
  <c r="H48" i="44"/>
  <c r="H71" i="44" s="1"/>
  <c r="H94" i="44" s="1"/>
  <c r="P470" i="37"/>
  <c r="P468" i="37" s="1"/>
  <c r="P469" i="37" s="1"/>
  <c r="P325" i="37" s="1"/>
  <c r="P324" i="37" s="1"/>
  <c r="P318" i="37" s="1"/>
  <c r="P329" i="37" s="1"/>
  <c r="K470" i="37"/>
  <c r="K468" i="37" s="1"/>
  <c r="K469" i="37" s="1"/>
  <c r="K325" i="37" s="1"/>
  <c r="K324" i="37" s="1"/>
  <c r="K318" i="37" s="1"/>
  <c r="K329" i="37" s="1"/>
  <c r="N470" i="37"/>
  <c r="N468" i="37" s="1"/>
  <c r="N469" i="37" s="1"/>
  <c r="N325" i="37" s="1"/>
  <c r="N324" i="37" s="1"/>
  <c r="N318" i="37" s="1"/>
  <c r="N329" i="37" s="1"/>
  <c r="J470" i="37"/>
  <c r="J468" i="37" s="1"/>
  <c r="J469" i="37" s="1"/>
  <c r="J325" i="37" s="1"/>
  <c r="J324" i="37" s="1"/>
  <c r="J318" i="37" s="1"/>
  <c r="J329" i="37" s="1"/>
  <c r="M470" i="37"/>
  <c r="M468" i="37" s="1"/>
  <c r="M469" i="37" s="1"/>
  <c r="M325" i="37" s="1"/>
  <c r="M324" i="37" s="1"/>
  <c r="M318" i="37" s="1"/>
  <c r="M329" i="37" s="1"/>
  <c r="L470" i="37"/>
  <c r="L468" i="37" s="1"/>
  <c r="L469" i="37" s="1"/>
  <c r="L325" i="37" s="1"/>
  <c r="L324" i="37" s="1"/>
  <c r="L318" i="37" s="1"/>
  <c r="L329" i="37" s="1"/>
  <c r="I470" i="37"/>
  <c r="I468" i="37" s="1"/>
  <c r="I469" i="37" s="1"/>
  <c r="I325" i="37" s="1"/>
  <c r="I324" i="37" s="1"/>
  <c r="I318" i="37" s="1"/>
  <c r="I329" i="37" s="1"/>
  <c r="F471" i="37"/>
  <c r="Q470" i="37"/>
  <c r="Q468" i="37" s="1"/>
  <c r="Q469" i="37" s="1"/>
  <c r="Q325" i="37" s="1"/>
  <c r="Q324" i="37" s="1"/>
  <c r="Q318" i="37" s="1"/>
  <c r="Q329" i="37" s="1"/>
  <c r="O470" i="37"/>
  <c r="O468" i="37" s="1"/>
  <c r="O469" i="37" s="1"/>
  <c r="O325" i="37" s="1"/>
  <c r="O324" i="37" s="1"/>
  <c r="O318" i="37" s="1"/>
  <c r="O329" i="37" s="1"/>
  <c r="K73" i="37"/>
  <c r="K74" i="37" s="1"/>
  <c r="I21" i="1"/>
  <c r="I22" i="1" s="1"/>
  <c r="I23" i="1" s="1"/>
  <c r="G75" i="37"/>
  <c r="I21" i="42"/>
  <c r="I22" i="42" s="1"/>
  <c r="I23" i="42" s="1"/>
  <c r="J75" i="37"/>
  <c r="I15" i="35"/>
  <c r="I325" i="35" s="1"/>
  <c r="I327" i="35" s="1"/>
  <c r="I75" i="37"/>
  <c r="I21" i="44" l="1"/>
  <c r="I22" i="44" s="1"/>
  <c r="I23" i="44" s="1"/>
  <c r="J18" i="35"/>
  <c r="I323" i="35"/>
  <c r="I322" i="35"/>
  <c r="I316" i="35"/>
  <c r="I315" i="35"/>
  <c r="G92" i="35"/>
  <c r="G53" i="35"/>
  <c r="G470" i="37"/>
  <c r="G468" i="37" s="1"/>
  <c r="G469" i="37" s="1"/>
  <c r="G325" i="37" s="1"/>
  <c r="K75" i="37"/>
  <c r="K76" i="37" s="1"/>
  <c r="K78" i="37" s="1"/>
  <c r="L73" i="37"/>
  <c r="N73" i="37" s="1"/>
  <c r="N74" i="37" s="1"/>
  <c r="I76" i="37"/>
  <c r="I78" i="37" s="1"/>
  <c r="I79" i="37"/>
  <c r="J76" i="37"/>
  <c r="J78" i="37" s="1"/>
  <c r="J79" i="37"/>
  <c r="I23" i="35" s="1"/>
  <c r="H15" i="35"/>
  <c r="H96" i="35" s="1"/>
  <c r="I19" i="35"/>
  <c r="G79" i="37"/>
  <c r="H23" i="35" s="1"/>
  <c r="G76" i="37"/>
  <c r="G78" i="37" s="1"/>
  <c r="J15" i="35" l="1"/>
  <c r="J96" i="35" s="1"/>
  <c r="H316" i="35"/>
  <c r="N75" i="37"/>
  <c r="N76" i="37" s="1"/>
  <c r="N78" i="37" s="1"/>
  <c r="L18" i="35"/>
  <c r="I324" i="35"/>
  <c r="I321" i="35"/>
  <c r="F468" i="37"/>
  <c r="K79" i="37"/>
  <c r="J23" i="35" s="1"/>
  <c r="O73" i="37"/>
  <c r="O74" i="37" s="1"/>
  <c r="M18" i="35" s="1"/>
  <c r="M15" i="35" s="1"/>
  <c r="L74" i="37"/>
  <c r="I21" i="43"/>
  <c r="I22" i="43" s="1"/>
  <c r="I23" i="43" s="1"/>
  <c r="F325" i="37"/>
  <c r="G324" i="37"/>
  <c r="I24" i="42"/>
  <c r="J6" i="37"/>
  <c r="J81" i="37"/>
  <c r="I22" i="35" s="1"/>
  <c r="I81" i="37"/>
  <c r="I6" i="37"/>
  <c r="G6" i="37"/>
  <c r="G81" i="37"/>
  <c r="H22" i="35" s="1"/>
  <c r="I24" i="1"/>
  <c r="L53" i="6" s="1"/>
  <c r="H19" i="35"/>
  <c r="H97" i="35"/>
  <c r="H322" i="35"/>
  <c r="H111" i="35"/>
  <c r="H113" i="35"/>
  <c r="H108" i="35"/>
  <c r="H325" i="35"/>
  <c r="H112" i="35"/>
  <c r="H110" i="35"/>
  <c r="H98" i="35"/>
  <c r="H100" i="35"/>
  <c r="H99" i="35"/>
  <c r="H109" i="35"/>
  <c r="H106" i="35"/>
  <c r="H319" i="35"/>
  <c r="H117" i="35"/>
  <c r="H105" i="35"/>
  <c r="H103" i="35"/>
  <c r="H101" i="35"/>
  <c r="H114" i="35"/>
  <c r="H323" i="35"/>
  <c r="H119" i="35"/>
  <c r="H107" i="35"/>
  <c r="H104" i="35"/>
  <c r="H115" i="35"/>
  <c r="H102" i="35"/>
  <c r="H318" i="35"/>
  <c r="H120" i="35"/>
  <c r="H116" i="35"/>
  <c r="H118" i="35"/>
  <c r="H315" i="35"/>
  <c r="H317" i="35"/>
  <c r="J104" i="35" l="1"/>
  <c r="J112" i="35"/>
  <c r="J97" i="35"/>
  <c r="J105" i="35"/>
  <c r="J115" i="35"/>
  <c r="J119" i="35"/>
  <c r="J113" i="35"/>
  <c r="J108" i="35"/>
  <c r="J317" i="35"/>
  <c r="J19" i="35"/>
  <c r="J319" i="35"/>
  <c r="J323" i="35"/>
  <c r="J98" i="35"/>
  <c r="J102" i="35"/>
  <c r="J322" i="35"/>
  <c r="J106" i="35"/>
  <c r="J109" i="35"/>
  <c r="J316" i="35"/>
  <c r="J110" i="35"/>
  <c r="J325" i="35"/>
  <c r="J327" i="35" s="1"/>
  <c r="J100" i="35"/>
  <c r="J118" i="35"/>
  <c r="J117" i="35"/>
  <c r="J111" i="35"/>
  <c r="J101" i="35"/>
  <c r="J120" i="35"/>
  <c r="J103" i="35"/>
  <c r="J107" i="35"/>
  <c r="J315" i="35"/>
  <c r="J114" i="35"/>
  <c r="J318" i="35"/>
  <c r="J99" i="35"/>
  <c r="J116" i="35"/>
  <c r="K6" i="37"/>
  <c r="I24" i="44"/>
  <c r="N79" i="37"/>
  <c r="L23" i="35" s="1"/>
  <c r="K81" i="37"/>
  <c r="J22" i="35" s="1"/>
  <c r="I21" i="34"/>
  <c r="I22" i="34" s="1"/>
  <c r="I23" i="34" s="1"/>
  <c r="K18" i="35"/>
  <c r="K15" i="35" s="1"/>
  <c r="M107" i="35"/>
  <c r="M323" i="35"/>
  <c r="O75" i="37"/>
  <c r="O79" i="37" s="1"/>
  <c r="M23" i="35" s="1"/>
  <c r="I96" i="35"/>
  <c r="I278" i="35" s="1"/>
  <c r="I328" i="35" s="1"/>
  <c r="I24" i="35" s="1"/>
  <c r="I21" i="49"/>
  <c r="I22" i="49" s="1"/>
  <c r="I23" i="49" s="1"/>
  <c r="L75" i="37"/>
  <c r="L76" i="37" s="1"/>
  <c r="L78" i="37" s="1"/>
  <c r="L15" i="35"/>
  <c r="L96" i="35" s="1"/>
  <c r="P73" i="37"/>
  <c r="P74" i="37" s="1"/>
  <c r="N18" i="35" s="1"/>
  <c r="N15" i="35" s="1"/>
  <c r="N96" i="35" s="1"/>
  <c r="M120" i="35"/>
  <c r="M119" i="35"/>
  <c r="M100" i="35"/>
  <c r="M112" i="35"/>
  <c r="M108" i="35"/>
  <c r="M113" i="35"/>
  <c r="M97" i="35"/>
  <c r="M98" i="35"/>
  <c r="M322" i="35"/>
  <c r="M103" i="35"/>
  <c r="M19" i="35"/>
  <c r="M117" i="35"/>
  <c r="M317" i="35"/>
  <c r="M316" i="35"/>
  <c r="M102" i="35"/>
  <c r="M109" i="35"/>
  <c r="M325" i="35"/>
  <c r="M327" i="35" s="1"/>
  <c r="M114" i="35"/>
  <c r="M110" i="35"/>
  <c r="M315" i="35"/>
  <c r="M319" i="35"/>
  <c r="M106" i="35"/>
  <c r="M99" i="35"/>
  <c r="M96" i="35"/>
  <c r="M116" i="35"/>
  <c r="M115" i="35"/>
  <c r="M318" i="35"/>
  <c r="M105" i="35"/>
  <c r="M118" i="35"/>
  <c r="M101" i="35"/>
  <c r="M111" i="35"/>
  <c r="M104" i="35"/>
  <c r="H327" i="35"/>
  <c r="H324" i="35"/>
  <c r="O76" i="37"/>
  <c r="O78" i="37" s="1"/>
  <c r="G5" i="37"/>
  <c r="H55" i="6"/>
  <c r="K55" i="6"/>
  <c r="F55" i="6"/>
  <c r="G55" i="6"/>
  <c r="J5" i="37"/>
  <c r="F324" i="37"/>
  <c r="G318" i="37"/>
  <c r="H321" i="35"/>
  <c r="H278" i="35"/>
  <c r="I5" i="37"/>
  <c r="F53" i="6"/>
  <c r="H53" i="6"/>
  <c r="G53" i="6"/>
  <c r="K53" i="6"/>
  <c r="G57" i="6"/>
  <c r="H57" i="6" l="1"/>
  <c r="L60" i="6"/>
  <c r="N6" i="37"/>
  <c r="K5" i="37"/>
  <c r="F57" i="6"/>
  <c r="K57" i="6"/>
  <c r="K59" i="6" s="1"/>
  <c r="J324" i="35"/>
  <c r="J278" i="35"/>
  <c r="J321" i="35"/>
  <c r="I24" i="43"/>
  <c r="H328" i="35"/>
  <c r="I21" i="50"/>
  <c r="I22" i="50" s="1"/>
  <c r="I23" i="50" s="1"/>
  <c r="N81" i="37"/>
  <c r="L22" i="35" s="1"/>
  <c r="L79" i="37"/>
  <c r="K23" i="35" s="1"/>
  <c r="K316" i="35"/>
  <c r="K98" i="35"/>
  <c r="K110" i="35"/>
  <c r="K99" i="35"/>
  <c r="K105" i="35"/>
  <c r="K116" i="35"/>
  <c r="K120" i="35"/>
  <c r="K103" i="35"/>
  <c r="K96" i="35"/>
  <c r="K117" i="35"/>
  <c r="K107" i="35"/>
  <c r="K111" i="35"/>
  <c r="K100" i="35"/>
  <c r="K115" i="35"/>
  <c r="K104" i="35"/>
  <c r="K112" i="35"/>
  <c r="K118" i="35"/>
  <c r="K114" i="35"/>
  <c r="K315" i="35"/>
  <c r="K109" i="35"/>
  <c r="K19" i="35"/>
  <c r="K119" i="35"/>
  <c r="K108" i="35"/>
  <c r="K325" i="35"/>
  <c r="K327" i="35" s="1"/>
  <c r="K102" i="35"/>
  <c r="K322" i="35"/>
  <c r="K317" i="35"/>
  <c r="K323" i="35"/>
  <c r="K101" i="35"/>
  <c r="K106" i="35"/>
  <c r="K97" i="35"/>
  <c r="K113" i="35"/>
  <c r="K319" i="35"/>
  <c r="K318" i="35"/>
  <c r="N19" i="35"/>
  <c r="N104" i="35"/>
  <c r="N97" i="35"/>
  <c r="N103" i="35"/>
  <c r="N110" i="35"/>
  <c r="N113" i="35"/>
  <c r="N112" i="35"/>
  <c r="N102" i="35"/>
  <c r="N115" i="35"/>
  <c r="N99" i="35"/>
  <c r="N106" i="35"/>
  <c r="N107" i="35"/>
  <c r="N105" i="35"/>
  <c r="N114" i="35"/>
  <c r="N101" i="35"/>
  <c r="N111" i="35"/>
  <c r="N98" i="35"/>
  <c r="N109" i="35"/>
  <c r="N100" i="35"/>
  <c r="N108" i="35"/>
  <c r="N120" i="35"/>
  <c r="N116" i="35"/>
  <c r="N317" i="35"/>
  <c r="N318" i="35"/>
  <c r="N319" i="35"/>
  <c r="N118" i="35"/>
  <c r="N117" i="35"/>
  <c r="N119" i="35"/>
  <c r="N315" i="35"/>
  <c r="N323" i="35"/>
  <c r="N316" i="35"/>
  <c r="N325" i="35"/>
  <c r="N327" i="35" s="1"/>
  <c r="N322" i="35"/>
  <c r="F74" i="37"/>
  <c r="P75" i="37"/>
  <c r="F75" i="37" s="1"/>
  <c r="M324" i="35"/>
  <c r="M321" i="35"/>
  <c r="M278" i="35"/>
  <c r="F318" i="37"/>
  <c r="G329" i="37"/>
  <c r="F329" i="37" s="1"/>
  <c r="I24" i="49"/>
  <c r="O6" i="37"/>
  <c r="O81" i="37"/>
  <c r="M22" i="35" s="1"/>
  <c r="L19" i="35"/>
  <c r="L102" i="35"/>
  <c r="L103" i="35"/>
  <c r="L111" i="35"/>
  <c r="L115" i="35"/>
  <c r="L318" i="35"/>
  <c r="L120" i="35"/>
  <c r="L315" i="35"/>
  <c r="L322" i="35"/>
  <c r="L99" i="35"/>
  <c r="L116" i="35"/>
  <c r="L109" i="35"/>
  <c r="L97" i="35"/>
  <c r="L101" i="35"/>
  <c r="L105" i="35"/>
  <c r="L98" i="35"/>
  <c r="L317" i="35"/>
  <c r="L117" i="35"/>
  <c r="L316" i="35"/>
  <c r="L106" i="35"/>
  <c r="L100" i="35"/>
  <c r="L325" i="35"/>
  <c r="L108" i="35"/>
  <c r="L110" i="35"/>
  <c r="L113" i="35"/>
  <c r="L107" i="35"/>
  <c r="L112" i="35"/>
  <c r="L119" i="35"/>
  <c r="L118" i="35"/>
  <c r="L323" i="35"/>
  <c r="L114" i="35"/>
  <c r="L104" i="35"/>
  <c r="L319" i="35"/>
  <c r="G15" i="35"/>
  <c r="L6" i="37" l="1"/>
  <c r="L61" i="6"/>
  <c r="F60" i="6"/>
  <c r="G60" i="6"/>
  <c r="H60" i="6"/>
  <c r="G110" i="35"/>
  <c r="N5" i="37"/>
  <c r="G104" i="35"/>
  <c r="J328" i="35"/>
  <c r="J24" i="35" s="1"/>
  <c r="G117" i="35"/>
  <c r="G108" i="35"/>
  <c r="G317" i="35"/>
  <c r="G97" i="35"/>
  <c r="G106" i="35"/>
  <c r="G98" i="35"/>
  <c r="G115" i="35"/>
  <c r="G119" i="35"/>
  <c r="G107" i="35"/>
  <c r="G99" i="35"/>
  <c r="G103" i="35"/>
  <c r="G105" i="35"/>
  <c r="G318" i="35"/>
  <c r="G114" i="35"/>
  <c r="G116" i="35"/>
  <c r="I24" i="34"/>
  <c r="L81" i="37"/>
  <c r="K22" i="35" s="1"/>
  <c r="G319" i="35"/>
  <c r="G118" i="35"/>
  <c r="G100" i="35"/>
  <c r="G102" i="35"/>
  <c r="P76" i="37"/>
  <c r="P78" i="37" s="1"/>
  <c r="F78" i="37" s="1"/>
  <c r="P79" i="37"/>
  <c r="N23" i="35" s="1"/>
  <c r="G23" i="35" s="1"/>
  <c r="G101" i="35"/>
  <c r="G120" i="35"/>
  <c r="G113" i="35"/>
  <c r="G109" i="35"/>
  <c r="G112" i="35"/>
  <c r="G111" i="35"/>
  <c r="K321" i="35"/>
  <c r="K324" i="35"/>
  <c r="K278" i="35"/>
  <c r="N278" i="35"/>
  <c r="G19" i="35"/>
  <c r="G323" i="35"/>
  <c r="G315" i="35"/>
  <c r="G316" i="35"/>
  <c r="G322" i="35"/>
  <c r="G96" i="35"/>
  <c r="O5" i="37"/>
  <c r="G18" i="35"/>
  <c r="N324" i="35"/>
  <c r="N321" i="35"/>
  <c r="M328" i="35"/>
  <c r="M329" i="35" s="1"/>
  <c r="H24" i="35"/>
  <c r="H329" i="35"/>
  <c r="L324" i="35"/>
  <c r="L278" i="35"/>
  <c r="L321" i="35"/>
  <c r="L327" i="35"/>
  <c r="G327" i="35" s="1"/>
  <c r="G325" i="35"/>
  <c r="J329" i="35" l="1"/>
  <c r="L5" i="37"/>
  <c r="I24" i="50"/>
  <c r="F76" i="37"/>
  <c r="F79" i="37"/>
  <c r="P81" i="37"/>
  <c r="N22" i="35" s="1"/>
  <c r="G22" i="35" s="1"/>
  <c r="P6" i="37"/>
  <c r="F6" i="37" s="1"/>
  <c r="K328" i="35"/>
  <c r="K329" i="35" s="1"/>
  <c r="G324" i="35"/>
  <c r="N328" i="35"/>
  <c r="N329" i="35" s="1"/>
  <c r="G278" i="35"/>
  <c r="G321" i="35"/>
  <c r="M24" i="35"/>
  <c r="H56" i="6"/>
  <c r="G56" i="6"/>
  <c r="F56" i="6"/>
  <c r="K56" i="6"/>
  <c r="K60" i="6" s="1"/>
  <c r="K61" i="6" s="1"/>
  <c r="L328" i="35"/>
  <c r="F81" i="37" l="1"/>
  <c r="P5" i="37"/>
  <c r="F5" i="37" s="1"/>
  <c r="K24" i="35"/>
  <c r="N24" i="35"/>
  <c r="L24" i="35"/>
  <c r="L329" i="35"/>
  <c r="G328" i="35" l="1"/>
  <c r="G24" i="35" s="1"/>
  <c r="L31" i="6"/>
  <c r="K31" i="6" s="1"/>
  <c r="G329" i="35" l="1"/>
  <c r="K32" i="6"/>
  <c r="L32" i="6"/>
  <c r="L45" i="6"/>
  <c r="L46" i="6" l="1"/>
  <c r="K46" i="6" s="1"/>
  <c r="K45" i="6"/>
  <c r="K47" i="6" l="1"/>
  <c r="L4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</authors>
  <commentList>
    <comment ref="N8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 xml:space="preserve">設計書番号を入力
（2018-は自動で追記されるので入力不要）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G43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I43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J43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K43" authorId="0" shapeId="0" xr:uid="{00000000-0006-0000-0300-000004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L43" authorId="0" shapeId="0" xr:uid="{00000000-0006-0000-0300-000005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300-000006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300-000007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3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245" authorId="0" shapeId="0" xr:uid="{00000000-0006-0000-03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300-00000A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4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4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4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400-000004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4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4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400-000007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4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4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135" authorId="0" shapeId="0" xr:uid="{00000000-0006-0000-0B00-000004000000}">
      <text>
        <r>
          <rPr>
            <sz val="9"/>
            <color indexed="81"/>
            <rFont val="ＭＳ Ｐゴシック"/>
            <family val="3"/>
            <charset val="128"/>
          </rPr>
          <t>設備明細の共仮金額を入力</t>
        </r>
      </text>
    </comment>
    <comment ref="G212" authorId="0" shapeId="0" xr:uid="{00000000-0006-0000-0B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B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B00-000007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B00-000008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B00-000009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B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由肥　明子</author>
  </authors>
  <commentList>
    <comment ref="H148" authorId="0" shapeId="0" xr:uid="{00000000-0006-0000-1300-000001000000}">
      <text>
        <r>
          <rPr>
            <b/>
            <sz val="9"/>
            <color indexed="81"/>
            <rFont val="MS P ゴシック"/>
            <family val="3"/>
            <charset val="128"/>
          </rPr>
          <t>由肥　明子:</t>
        </r>
        <r>
          <rPr>
            <sz val="9"/>
            <color indexed="81"/>
            <rFont val="MS P ゴシック"/>
            <family val="3"/>
            <charset val="128"/>
          </rPr>
          <t xml:space="preserve">
由肥　明子:
元設計　施工㎡　13.29㎡　施工費　350,000
今回　　施工㎡　　2.01㎡
350,000/13.29＊2.01＝52,934　52,900
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  <author>profile</author>
    <author>今井　得裕</author>
  </authors>
  <commentList>
    <comment ref="G48" authorId="0" shapeId="0" xr:uid="{00000000-0006-0000-1700-000001000000}">
      <text>
        <r>
          <rPr>
            <b/>
            <sz val="9"/>
            <color indexed="81"/>
            <rFont val="MS P ゴシック"/>
            <family val="3"/>
            <charset val="128"/>
          </rPr>
          <t>=IF(G42=0,IF(G35=0,IF(G8=G65,0,G43+G46+G47),G43+G46+G47),G42)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92" authorId="1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C117" authorId="1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117" authorId="1" shapeId="0" xr:uid="{00000000-0006-0000-1700-000004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143" authorId="1" shapeId="0" xr:uid="{00000000-0006-0000-17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154" authorId="2" shapeId="0" xr:uid="{00000000-0006-0000-17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20" authorId="2" shapeId="0" xr:uid="{00000000-0006-0000-17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</text>
    </comment>
    <comment ref="G225" authorId="2" shapeId="0" xr:uid="{00000000-0006-0000-17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6" authorId="2" shapeId="0" xr:uid="{00000000-0006-0000-17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8" authorId="2" shapeId="0" xr:uid="{00000000-0006-0000-17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34" authorId="2" shapeId="0" xr:uid="{00000000-0006-0000-1700-00000B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C237" authorId="1" shapeId="0" xr:uid="{00000000-0006-0000-1700-00000C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G250" authorId="1" shapeId="0" xr:uid="{00000000-0006-0000-1700-00000D000000}">
      <text>
        <r>
          <rPr>
            <sz val="9"/>
            <color indexed="81"/>
            <rFont val="ＭＳ Ｐゴシック"/>
            <family val="3"/>
            <charset val="128"/>
          </rPr>
          <t>H23）設備明細の直工金額を入力</t>
        </r>
      </text>
    </comment>
    <comment ref="G251" authorId="1" shapeId="0" xr:uid="{00000000-0006-0000-1700-00000E000000}">
      <text>
        <r>
          <rPr>
            <sz val="9"/>
            <color indexed="81"/>
            <rFont val="ＭＳ Ｐゴシック"/>
            <family val="3"/>
            <charset val="128"/>
          </rPr>
          <t>H23）設備明細の共仮金額を入力</t>
        </r>
      </text>
    </comment>
    <comment ref="C262" authorId="1" shapeId="0" xr:uid="{00000000-0006-0000-17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262" authorId="1" shapeId="0" xr:uid="{00000000-0006-0000-1700-000010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288" authorId="1" shapeId="0" xr:uid="{00000000-0006-0000-1700-000011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299" authorId="2" shapeId="0" xr:uid="{00000000-0006-0000-1700-000012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9214806</author>
  </authors>
  <commentList>
    <comment ref="G79" authorId="0" shapeId="0" xr:uid="{00000000-0006-0000-18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82" authorId="0" shapeId="0" xr:uid="{00000000-0006-0000-18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<sst xmlns="http://schemas.openxmlformats.org/spreadsheetml/2006/main" count="8886" uniqueCount="3421">
  <si>
    <t>名             称</t>
  </si>
  <si>
    <t>形   状   寸   法</t>
  </si>
  <si>
    <t>数   量</t>
  </si>
  <si>
    <t>単 位</t>
  </si>
  <si>
    <t>単   価</t>
  </si>
  <si>
    <t>金    額</t>
  </si>
  <si>
    <t>摘            要</t>
  </si>
  <si>
    <t>式</t>
  </si>
  <si>
    <t>小    計</t>
  </si>
  <si>
    <t>運搬時間</t>
  </si>
  <si>
    <t>作業時間</t>
    <phoneticPr fontId="2"/>
  </si>
  <si>
    <t>円</t>
    <rPh sb="0" eb="1">
      <t>エン</t>
    </rPh>
    <phoneticPr fontId="2"/>
  </si>
  <si>
    <t>作業時間</t>
    <phoneticPr fontId="2"/>
  </si>
  <si>
    <t>消費税及び地方消費税相当額</t>
  </si>
  <si>
    <t>○○工事の部</t>
    <rPh sb="2" eb="4">
      <t>コウジ</t>
    </rPh>
    <rPh sb="5" eb="6">
      <t>ブ</t>
    </rPh>
    <phoneticPr fontId="2"/>
  </si>
  <si>
    <t>〇〇工事   見積り金額比較表</t>
  </si>
  <si>
    <t>作業</t>
    <rPh sb="0" eb="2">
      <t>サギョウ</t>
    </rPh>
    <phoneticPr fontId="2"/>
  </si>
  <si>
    <t>時間</t>
    <rPh sb="0" eb="2">
      <t>ジカン</t>
    </rPh>
    <phoneticPr fontId="2"/>
  </si>
  <si>
    <t>運搬</t>
    <rPh sb="0" eb="2">
      <t>ウンパン</t>
    </rPh>
    <phoneticPr fontId="2"/>
  </si>
  <si>
    <t>名　　　　称</t>
    <rPh sb="0" eb="1">
      <t>メイ</t>
    </rPh>
    <rPh sb="5" eb="6">
      <t>ショウ</t>
    </rPh>
    <phoneticPr fontId="2"/>
  </si>
  <si>
    <t>形　状　寸　法</t>
    <rPh sb="0" eb="1">
      <t>カタチ</t>
    </rPh>
    <rPh sb="2" eb="3">
      <t>ジョウ</t>
    </rPh>
    <rPh sb="4" eb="5">
      <t>スン</t>
    </rPh>
    <rPh sb="6" eb="7">
      <t>ホウ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</si>
  <si>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</si>
  <si>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</si>
  <si>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　価</t>
    <rPh sb="0" eb="1">
      <t>タン</t>
    </rPh>
    <rPh sb="2" eb="3">
      <t>アタイ</t>
    </rPh>
    <phoneticPr fontId="2"/>
  </si>
  <si>
    <t>金　額</t>
    <rPh sb="0" eb="1">
      <t>キン</t>
    </rPh>
    <rPh sb="2" eb="3">
      <t>ガク</t>
    </rPh>
    <phoneticPr fontId="2"/>
  </si>
  <si>
    <t>C:</t>
    <phoneticPr fontId="2"/>
  </si>
  <si>
    <t>ｺｰﾄﾞNo</t>
    <phoneticPr fontId="2"/>
  </si>
  <si>
    <t>調整単価</t>
    <rPh sb="0" eb="2">
      <t>チョウセイ</t>
    </rPh>
    <rPh sb="2" eb="3">
      <t>タン</t>
    </rPh>
    <rPh sb="3" eb="4">
      <t>アタイ</t>
    </rPh>
    <phoneticPr fontId="2"/>
  </si>
  <si>
    <t>採用単価</t>
    <rPh sb="0" eb="2">
      <t>サイヨウ</t>
    </rPh>
    <rPh sb="2" eb="4">
      <t>タンカ</t>
    </rPh>
    <phoneticPr fontId="2"/>
  </si>
  <si>
    <t>最小値→</t>
    <rPh sb="0" eb="3">
      <t>サイショウチ</t>
    </rPh>
    <phoneticPr fontId="2"/>
  </si>
  <si>
    <t>単価ｺｰﾄﾞ</t>
  </si>
  <si>
    <t>形  状  寸  法</t>
  </si>
  <si>
    <t>単位</t>
  </si>
  <si>
    <t>材料費</t>
  </si>
  <si>
    <t>１Ａ</t>
  </si>
  <si>
    <t>２Ａ</t>
  </si>
  <si>
    <t>３Ａ</t>
  </si>
  <si>
    <t>４Ａ</t>
  </si>
  <si>
    <t>備    考</t>
  </si>
  <si>
    <t>工種</t>
    <rPh sb="0" eb="2">
      <t>コウシュ</t>
    </rPh>
    <phoneticPr fontId="2"/>
  </si>
  <si>
    <t>金額欄計算式    =&gt;</t>
    <rPh sb="0" eb="2">
      <t>キンガク</t>
    </rPh>
    <rPh sb="2" eb="3">
      <t>ラン</t>
    </rPh>
    <rPh sb="3" eb="5">
      <t>ケイサン</t>
    </rPh>
    <rPh sb="5" eb="6">
      <t>シキ</t>
    </rPh>
    <phoneticPr fontId="2"/>
  </si>
  <si>
    <t>標準単価ファイル名</t>
    <rPh sb="0" eb="2">
      <t>ヒョウジュン</t>
    </rPh>
    <rPh sb="2" eb="4">
      <t>タンカ</t>
    </rPh>
    <rPh sb="8" eb="9">
      <t>メイ</t>
    </rPh>
    <phoneticPr fontId="2"/>
  </si>
  <si>
    <t>標準単価ﾌｧｲﾙ保管場所</t>
    <rPh sb="0" eb="2">
      <t>ヒョウジュン</t>
    </rPh>
    <rPh sb="2" eb="4">
      <t>タンカ</t>
    </rPh>
    <rPh sb="8" eb="10">
      <t>ホカン</t>
    </rPh>
    <rPh sb="10" eb="12">
      <t>バショ</t>
    </rPh>
    <phoneticPr fontId="2"/>
  </si>
  <si>
    <t>各シートの最大行数（単価挿入時にEOL無し時に実行する範囲。小さいと処理は早く終わるが、この行以降のデータに単価は挿入されない。）</t>
    <rPh sb="0" eb="1">
      <t>カク</t>
    </rPh>
    <rPh sb="5" eb="7">
      <t>サイダイ</t>
    </rPh>
    <rPh sb="7" eb="9">
      <t>ギョウスウ</t>
    </rPh>
    <rPh sb="10" eb="12">
      <t>タンカ</t>
    </rPh>
    <rPh sb="12" eb="14">
      <t>ソウニュウ</t>
    </rPh>
    <rPh sb="14" eb="15">
      <t>ジ</t>
    </rPh>
    <rPh sb="19" eb="20">
      <t>ナ</t>
    </rPh>
    <rPh sb="21" eb="22">
      <t>ジ</t>
    </rPh>
    <rPh sb="23" eb="25">
      <t>ジッコウ</t>
    </rPh>
    <rPh sb="27" eb="29">
      <t>ハンイ</t>
    </rPh>
    <rPh sb="30" eb="31">
      <t>チイ</t>
    </rPh>
    <rPh sb="34" eb="36">
      <t>ショリ</t>
    </rPh>
    <rPh sb="37" eb="38">
      <t>ハヤ</t>
    </rPh>
    <rPh sb="39" eb="40">
      <t>オ</t>
    </rPh>
    <rPh sb="46" eb="47">
      <t>ギョウ</t>
    </rPh>
    <rPh sb="47" eb="49">
      <t>イコウ</t>
    </rPh>
    <rPh sb="54" eb="56">
      <t>タンカ</t>
    </rPh>
    <rPh sb="57" eb="59">
      <t>ソウニュウ</t>
    </rPh>
    <phoneticPr fontId="2"/>
  </si>
  <si>
    <t>運搬時間</t>
    <phoneticPr fontId="2"/>
  </si>
  <si>
    <t>cells(8,8)</t>
    <phoneticPr fontId="2"/>
  </si>
  <si>
    <t>cells(10,8)</t>
    <phoneticPr fontId="2"/>
  </si>
  <si>
    <t>cells(12,8)</t>
    <phoneticPr fontId="2"/>
  </si>
  <si>
    <t>　計</t>
    <rPh sb="1" eb="2">
      <t>ケイ</t>
    </rPh>
    <phoneticPr fontId="2"/>
  </si>
  <si>
    <t>/</t>
    <phoneticPr fontId="2"/>
  </si>
  <si>
    <t>前シートのページ数</t>
    <rPh sb="0" eb="1">
      <t>ゼン</t>
    </rPh>
    <rPh sb="8" eb="9">
      <t>スウ</t>
    </rPh>
    <phoneticPr fontId="2"/>
  </si>
  <si>
    <t>各シートのトップページを常に書き換えるか(Yes=1 No=0)</t>
    <rPh sb="0" eb="1">
      <t>カク</t>
    </rPh>
    <rPh sb="12" eb="13">
      <t>ツネ</t>
    </rPh>
    <rPh sb="14" eb="15">
      <t>カ</t>
    </rPh>
    <rPh sb="16" eb="17">
      <t>カ</t>
    </rPh>
    <phoneticPr fontId="2"/>
  </si>
  <si>
    <t>cells(14,8)</t>
    <phoneticPr fontId="2"/>
  </si>
  <si>
    <r>
      <t>現在の工事部数（シートの数）</t>
    </r>
    <r>
      <rPr>
        <b/>
        <sz val="11"/>
        <rFont val="ＭＳ Ｐゴシック"/>
        <family val="3"/>
        <charset val="128"/>
      </rPr>
      <t>(！！書き換え厳禁！！）</t>
    </r>
    <rPh sb="0" eb="2">
      <t>ゲンザイ</t>
    </rPh>
    <rPh sb="3" eb="5">
      <t>コウジ</t>
    </rPh>
    <rPh sb="5" eb="6">
      <t>ブ</t>
    </rPh>
    <rPh sb="6" eb="7">
      <t>スウ</t>
    </rPh>
    <rPh sb="12" eb="13">
      <t>カズ</t>
    </rPh>
    <rPh sb="17" eb="18">
      <t>カ</t>
    </rPh>
    <rPh sb="19" eb="20">
      <t>カ</t>
    </rPh>
    <rPh sb="21" eb="23">
      <t>ゲンキン</t>
    </rPh>
    <phoneticPr fontId="2"/>
  </si>
  <si>
    <r>
      <t>最終ページ数</t>
    </r>
    <r>
      <rPr>
        <b/>
        <sz val="11"/>
        <rFont val="ＭＳ Ｐゴシック"/>
        <family val="3"/>
        <charset val="128"/>
      </rPr>
      <t>（！！書き換え厳禁！！）</t>
    </r>
    <rPh sb="0" eb="2">
      <t>サイシュウ</t>
    </rPh>
    <rPh sb="5" eb="6">
      <t>スウ</t>
    </rPh>
    <rPh sb="9" eb="10">
      <t>カ</t>
    </rPh>
    <rPh sb="11" eb="12">
      <t>カ</t>
    </rPh>
    <rPh sb="13" eb="15">
      <t>ゲンキン</t>
    </rPh>
    <phoneticPr fontId="2"/>
  </si>
  <si>
    <t>cells(18,8)</t>
    <phoneticPr fontId="2"/>
  </si>
  <si>
    <t>このシートの最終ページ数</t>
    <rPh sb="6" eb="8">
      <t>サイシュウ</t>
    </rPh>
    <rPh sb="11" eb="12">
      <t>スウ</t>
    </rPh>
    <phoneticPr fontId="2"/>
  </si>
  <si>
    <t>代価一覧のデータ数</t>
    <rPh sb="0" eb="2">
      <t>ダイカ</t>
    </rPh>
    <rPh sb="2" eb="4">
      <t>イチラン</t>
    </rPh>
    <rPh sb="8" eb="9">
      <t>スウ</t>
    </rPh>
    <phoneticPr fontId="2"/>
  </si>
  <si>
    <t>cells(20,8)</t>
    <phoneticPr fontId="2"/>
  </si>
  <si>
    <t>名称(空白は不可)</t>
    <rPh sb="3" eb="5">
      <t>クウハク</t>
    </rPh>
    <rPh sb="6" eb="8">
      <t>フカ</t>
    </rPh>
    <phoneticPr fontId="2"/>
  </si>
  <si>
    <t>m3</t>
  </si>
  <si>
    <t>前ﾍﾟｰｼﾞから続きの場合「１」を入力　→</t>
    <rPh sb="0" eb="1">
      <t>マエ</t>
    </rPh>
    <rPh sb="8" eb="9">
      <t>ツヅ</t>
    </rPh>
    <rPh sb="11" eb="13">
      <t>バアイ</t>
    </rPh>
    <rPh sb="17" eb="19">
      <t>ニュウリョク</t>
    </rPh>
    <phoneticPr fontId="2"/>
  </si>
  <si>
    <t>全ページ数</t>
    <rPh sb="0" eb="1">
      <t>ゼン</t>
    </rPh>
    <rPh sb="4" eb="5">
      <t>スウ</t>
    </rPh>
    <phoneticPr fontId="2"/>
  </si>
  <si>
    <t>この参考明細のバージョン</t>
    <rPh sb="2" eb="4">
      <t>サンコウ</t>
    </rPh>
    <rPh sb="4" eb="6">
      <t>メイサイ</t>
    </rPh>
    <phoneticPr fontId="2"/>
  </si>
  <si>
    <t>cells(25,8)</t>
    <phoneticPr fontId="2"/>
  </si>
  <si>
    <t>(</t>
  </si>
  <si>
    <t>)</t>
  </si>
  <si>
    <t>材料</t>
    <rPh sb="0" eb="2">
      <t>ザイリョウ</t>
    </rPh>
    <phoneticPr fontId="2"/>
  </si>
  <si>
    <t>形状寸法</t>
    <rPh sb="0" eb="2">
      <t>ケイジョウ</t>
    </rPh>
    <rPh sb="2" eb="4">
      <t>スンポウ</t>
    </rPh>
    <phoneticPr fontId="2"/>
  </si>
  <si>
    <t>重量</t>
    <rPh sb="0" eb="2">
      <t>ジュウリョウ</t>
    </rPh>
    <phoneticPr fontId="2"/>
  </si>
  <si>
    <t>(</t>
    <phoneticPr fontId="2"/>
  </si>
  <si>
    <t>)</t>
    <phoneticPr fontId="2"/>
  </si>
  <si>
    <t>Ｄ１３</t>
  </si>
  <si>
    <t>Ｄ１６</t>
  </si>
  <si>
    <t>Ｄ１９</t>
  </si>
  <si>
    <t>Ｄ２２</t>
  </si>
  <si>
    <t>生コンクリート</t>
  </si>
  <si>
    <t>Fc=18,sl=18</t>
  </si>
  <si>
    <t>Fc=21,sl=18</t>
  </si>
  <si>
    <t>建築工事</t>
    <rPh sb="0" eb="2">
      <t>ケンチク</t>
    </rPh>
    <rPh sb="2" eb="4">
      <t>コウジ</t>
    </rPh>
    <phoneticPr fontId="2"/>
  </si>
  <si>
    <t>c:\積算\</t>
    <rPh sb="3" eb="5">
      <t>セキサン</t>
    </rPh>
    <phoneticPr fontId="2"/>
  </si>
  <si>
    <t>各シートの明細書開始行数(拡張用につき、変更厳禁）</t>
    <rPh sb="0" eb="1">
      <t>カク</t>
    </rPh>
    <rPh sb="5" eb="8">
      <t>メイサイショ</t>
    </rPh>
    <rPh sb="8" eb="10">
      <t>カイシ</t>
    </rPh>
    <rPh sb="10" eb="12">
      <t>ギョウスウ</t>
    </rPh>
    <rPh sb="13" eb="15">
      <t>カクチョウ</t>
    </rPh>
    <rPh sb="15" eb="16">
      <t>ヨウ</t>
    </rPh>
    <rPh sb="20" eb="22">
      <t>ヘンコウ</t>
    </rPh>
    <rPh sb="22" eb="24">
      <t>ゲンキン</t>
    </rPh>
    <phoneticPr fontId="2"/>
  </si>
  <si>
    <t>シートの保護を有効にするか(Yes=1 No=0)</t>
    <rPh sb="4" eb="6">
      <t>ホゴ</t>
    </rPh>
    <rPh sb="7" eb="9">
      <t>ユウコウ</t>
    </rPh>
    <phoneticPr fontId="2"/>
  </si>
  <si>
    <t>cells(29,8)</t>
    <phoneticPr fontId="2"/>
  </si>
  <si>
    <t>Fc=24,sl=15</t>
  </si>
  <si>
    <t>調整率</t>
    <rPh sb="0" eb="2">
      <t>チョウセイ</t>
    </rPh>
    <rPh sb="2" eb="3">
      <t>リツ</t>
    </rPh>
    <phoneticPr fontId="2"/>
  </si>
  <si>
    <t>page</t>
    <phoneticPr fontId="2"/>
  </si>
  <si>
    <t>/</t>
    <phoneticPr fontId="2"/>
  </si>
  <si>
    <t>(</t>
    <phoneticPr fontId="2"/>
  </si>
  <si>
    <t>)</t>
    <phoneticPr fontId="2"/>
  </si>
  <si>
    <t>1A-3A</t>
    <phoneticPr fontId="2"/>
  </si>
  <si>
    <t>1A-4A</t>
    <phoneticPr fontId="2"/>
  </si>
  <si>
    <t>Ｄ１０</t>
    <phoneticPr fontId="2"/>
  </si>
  <si>
    <t>t</t>
    <phoneticPr fontId="2"/>
  </si>
  <si>
    <t>前回userform終了時の作業時間</t>
    <rPh sb="0" eb="2">
      <t>ゼンカイ</t>
    </rPh>
    <rPh sb="10" eb="13">
      <t>シュウリョウジ</t>
    </rPh>
    <rPh sb="14" eb="16">
      <t>サギョウ</t>
    </rPh>
    <rPh sb="16" eb="18">
      <t>ジカン</t>
    </rPh>
    <phoneticPr fontId="2"/>
  </si>
  <si>
    <t>cells(4,4)</t>
    <phoneticPr fontId="2"/>
  </si>
  <si>
    <t>前回userform終了時の運搬時間</t>
    <rPh sb="0" eb="2">
      <t>ゼンカイ</t>
    </rPh>
    <rPh sb="10" eb="13">
      <t>シュウリョウジ</t>
    </rPh>
    <rPh sb="14" eb="16">
      <t>ウンパン</t>
    </rPh>
    <rPh sb="16" eb="18">
      <t>ジカン</t>
    </rPh>
    <phoneticPr fontId="2"/>
  </si>
  <si>
    <t>前回userform終了時の工種番号</t>
    <rPh sb="0" eb="2">
      <t>ゼンカイ</t>
    </rPh>
    <rPh sb="10" eb="13">
      <t>シュウリョウジ</t>
    </rPh>
    <rPh sb="14" eb="15">
      <t>コウジ</t>
    </rPh>
    <rPh sb="15" eb="16">
      <t>シュルイ</t>
    </rPh>
    <rPh sb="16" eb="18">
      <t>バンゴウ</t>
    </rPh>
    <phoneticPr fontId="2"/>
  </si>
  <si>
    <t>前回userform終了時の選択行</t>
    <rPh sb="0" eb="2">
      <t>ゼンカイ</t>
    </rPh>
    <rPh sb="10" eb="13">
      <t>シュウリョウジ</t>
    </rPh>
    <rPh sb="14" eb="16">
      <t>センタク</t>
    </rPh>
    <rPh sb="16" eb="17">
      <t>ギョウ</t>
    </rPh>
    <phoneticPr fontId="2"/>
  </si>
  <si>
    <t>cells(6,4)</t>
    <phoneticPr fontId="2"/>
  </si>
  <si>
    <t>cells(8,4)</t>
    <phoneticPr fontId="2"/>
  </si>
  <si>
    <t>cells(10,4)</t>
    <phoneticPr fontId="2"/>
  </si>
  <si>
    <t>積算担当者編集時「１」（注：設計者は絶対に触らないで下さい。エラーの原因になります！！）</t>
    <rPh sb="0" eb="2">
      <t>セキサン</t>
    </rPh>
    <rPh sb="2" eb="5">
      <t>タントウシャ</t>
    </rPh>
    <rPh sb="5" eb="7">
      <t>ヘンシュウ</t>
    </rPh>
    <rPh sb="7" eb="8">
      <t>ジ</t>
    </rPh>
    <rPh sb="12" eb="13">
      <t>チュウ</t>
    </rPh>
    <rPh sb="14" eb="17">
      <t>セッケイシャ</t>
    </rPh>
    <rPh sb="18" eb="20">
      <t>ゼッタイ</t>
    </rPh>
    <rPh sb="21" eb="22">
      <t>サワ</t>
    </rPh>
    <rPh sb="26" eb="27">
      <t>クダ</t>
    </rPh>
    <rPh sb="34" eb="36">
      <t>ゲンイン</t>
    </rPh>
    <phoneticPr fontId="2"/>
  </si>
  <si>
    <t>金入用標準単価ファイル名</t>
    <rPh sb="0" eb="1">
      <t>キン</t>
    </rPh>
    <rPh sb="1" eb="2">
      <t>イ</t>
    </rPh>
    <rPh sb="2" eb="3">
      <t>ヨウ</t>
    </rPh>
    <rPh sb="3" eb="5">
      <t>ヒョウジュン</t>
    </rPh>
    <rPh sb="5" eb="7">
      <t>タンカ</t>
    </rPh>
    <rPh sb="11" eb="12">
      <t>メイ</t>
    </rPh>
    <phoneticPr fontId="2"/>
  </si>
  <si>
    <t>現在のEXCELのバージョン</t>
    <rPh sb="0" eb="2">
      <t>ゲンザイ</t>
    </rPh>
    <phoneticPr fontId="2"/>
  </si>
  <si>
    <t>cells(12,4)</t>
    <phoneticPr fontId="2"/>
  </si>
  <si>
    <t>Fc=24,sl=18</t>
  </si>
  <si>
    <t>cells(14,4)</t>
    <phoneticPr fontId="2"/>
  </si>
  <si>
    <t>前回userform終了時の選択単価</t>
    <rPh sb="0" eb="2">
      <t>ゼンカイ</t>
    </rPh>
    <rPh sb="10" eb="13">
      <t>シュウリョウジ</t>
    </rPh>
    <rPh sb="14" eb="16">
      <t>センタク</t>
    </rPh>
    <rPh sb="16" eb="18">
      <t>タンカ</t>
    </rPh>
    <phoneticPr fontId="2"/>
  </si>
  <si>
    <t>鉄筋 SD295A</t>
    <rPh sb="0" eb="2">
      <t>テッキン</t>
    </rPh>
    <phoneticPr fontId="2"/>
  </si>
  <si>
    <t>鉄筋 SD345</t>
    <rPh sb="0" eb="2">
      <t>テッキン</t>
    </rPh>
    <phoneticPr fontId="2"/>
  </si>
  <si>
    <t>cells(2,4)</t>
    <phoneticPr fontId="2"/>
  </si>
  <si>
    <t>前回userform終了時の画面サイズ</t>
    <rPh sb="0" eb="2">
      <t>ゼンカイ</t>
    </rPh>
    <rPh sb="10" eb="13">
      <t>シュウリョウジ</t>
    </rPh>
    <rPh sb="14" eb="16">
      <t>ガメン</t>
    </rPh>
    <phoneticPr fontId="2"/>
  </si>
  <si>
    <t>ヵ所</t>
    <rPh sb="1" eb="2">
      <t>ショ</t>
    </rPh>
    <phoneticPr fontId="2"/>
  </si>
  <si>
    <t>諸経費表ファイル名</t>
    <rPh sb="0" eb="3">
      <t>ショケイヒ</t>
    </rPh>
    <rPh sb="3" eb="4">
      <t>ヒョウ</t>
    </rPh>
    <rPh sb="8" eb="9">
      <t>メイ</t>
    </rPh>
    <phoneticPr fontId="2"/>
  </si>
  <si>
    <t>諸経費表ﾌｧｲﾙ保管場所</t>
    <rPh sb="0" eb="3">
      <t>ショケイヒ</t>
    </rPh>
    <rPh sb="3" eb="4">
      <t>ヒョウ</t>
    </rPh>
    <rPh sb="8" eb="10">
      <t>ホカン</t>
    </rPh>
    <rPh sb="10" eb="12">
      <t>バショ</t>
    </rPh>
    <phoneticPr fontId="2"/>
  </si>
  <si>
    <t>諸経費表のシート名（１－３）</t>
    <rPh sb="0" eb="3">
      <t>ショケイヒ</t>
    </rPh>
    <rPh sb="3" eb="4">
      <t>ヒョウ</t>
    </rPh>
    <rPh sb="8" eb="9">
      <t>メイ</t>
    </rPh>
    <phoneticPr fontId="2"/>
  </si>
  <si>
    <t>cells(31,8)</t>
    <phoneticPr fontId="2"/>
  </si>
  <si>
    <t>cells(32,8)</t>
    <phoneticPr fontId="2"/>
  </si>
  <si>
    <t>cells(33,8)</t>
    <phoneticPr fontId="2"/>
  </si>
  <si>
    <t>cells(27,8(9))</t>
    <phoneticPr fontId="2"/>
  </si>
  <si>
    <t>１工種で複数ページになったときの合計式(右は変更時)</t>
    <rPh sb="1" eb="3">
      <t>コウシュ</t>
    </rPh>
    <rPh sb="4" eb="6">
      <t>フクスウ</t>
    </rPh>
    <rPh sb="16" eb="18">
      <t>ゴウケイ</t>
    </rPh>
    <rPh sb="18" eb="19">
      <t>シキ</t>
    </rPh>
    <rPh sb="20" eb="21">
      <t>ミギ</t>
    </rPh>
    <rPh sb="22" eb="24">
      <t>ヘンコウ</t>
    </rPh>
    <rPh sb="24" eb="25">
      <t>ジ</t>
    </rPh>
    <phoneticPr fontId="2"/>
  </si>
  <si>
    <t>廃プラ</t>
  </si>
  <si>
    <t>がれき</t>
  </si>
  <si>
    <t>繊維くず</t>
  </si>
  <si>
    <t>繊維くず</t>
    <rPh sb="0" eb="2">
      <t>センイ</t>
    </rPh>
    <phoneticPr fontId="2"/>
  </si>
  <si>
    <t>ガラス
陶磁器</t>
    <rPh sb="4" eb="7">
      <t>トウジキ</t>
    </rPh>
    <phoneticPr fontId="2"/>
  </si>
  <si>
    <t>残材処分費</t>
    <rPh sb="0" eb="1">
      <t>ザン</t>
    </rPh>
    <rPh sb="1" eb="2">
      <t>ザイ</t>
    </rPh>
    <rPh sb="2" eb="4">
      <t>ショブン</t>
    </rPh>
    <rPh sb="4" eb="5">
      <t>ヒ</t>
    </rPh>
    <phoneticPr fontId="2"/>
  </si>
  <si>
    <t>鉄</t>
    <rPh sb="0" eb="1">
      <t>テツ</t>
    </rPh>
    <phoneticPr fontId="2"/>
  </si>
  <si>
    <t>アルミ</t>
    <phoneticPr fontId="2"/>
  </si>
  <si>
    <t>銅</t>
    <rPh sb="0" eb="1">
      <t>ドウ</t>
    </rPh>
    <phoneticPr fontId="2"/>
  </si>
  <si>
    <t>ｽﾃﾝﾚｽ</t>
    <phoneticPr fontId="2"/>
  </si>
  <si>
    <t>小運搬重量(単位重量(kg))</t>
    <rPh sb="0" eb="1">
      <t>コ</t>
    </rPh>
    <rPh sb="1" eb="3">
      <t>ウンパン</t>
    </rPh>
    <rPh sb="3" eb="5">
      <t>ジュウリョウ</t>
    </rPh>
    <rPh sb="6" eb="8">
      <t>タンイ</t>
    </rPh>
    <rPh sb="8" eb="10">
      <t>ジュウリョウ</t>
    </rPh>
    <phoneticPr fontId="2"/>
  </si>
  <si>
    <t>ガラス
陶磁器</t>
  </si>
  <si>
    <t>鉄</t>
  </si>
  <si>
    <t>ｽﾃﾝﾚｽ</t>
  </si>
  <si>
    <t>アルミ</t>
  </si>
  <si>
    <t>銅</t>
  </si>
  <si>
    <t>処分費重量</t>
    <rPh sb="0" eb="2">
      <t>ショブン</t>
    </rPh>
    <rPh sb="2" eb="3">
      <t>ヒ</t>
    </rPh>
    <rPh sb="3" eb="5">
      <t>ジュウリョウ</t>
    </rPh>
    <phoneticPr fontId="2"/>
  </si>
  <si>
    <t>材料</t>
  </si>
  <si>
    <t>小運搬表（残材処分費）</t>
    <rPh sb="0" eb="1">
      <t>コ</t>
    </rPh>
    <rPh sb="1" eb="3">
      <t>ウンパン</t>
    </rPh>
    <rPh sb="3" eb="4">
      <t>ヒョウ</t>
    </rPh>
    <rPh sb="5" eb="6">
      <t>ザン</t>
    </rPh>
    <rPh sb="6" eb="7">
      <t>ザイ</t>
    </rPh>
    <rPh sb="7" eb="9">
      <t>ショブン</t>
    </rPh>
    <rPh sb="9" eb="10">
      <t>ヒ</t>
    </rPh>
    <phoneticPr fontId="2"/>
  </si>
  <si>
    <t>小運搬表（運搬費）</t>
    <rPh sb="0" eb="1">
      <t>コ</t>
    </rPh>
    <rPh sb="1" eb="3">
      <t>ウンパン</t>
    </rPh>
    <rPh sb="3" eb="4">
      <t>ヒョウ</t>
    </rPh>
    <rPh sb="5" eb="7">
      <t>ウンパン</t>
    </rPh>
    <rPh sb="7" eb="8">
      <t>ヒ</t>
    </rPh>
    <phoneticPr fontId="2"/>
  </si>
  <si>
    <t>ｽｸﾗｯﾌﾟ重量</t>
    <rPh sb="6" eb="8">
      <t>ジュウリョウ</t>
    </rPh>
    <phoneticPr fontId="2"/>
  </si>
  <si>
    <t>m2</t>
  </si>
  <si>
    <t>１．直接工事費</t>
    <rPh sb="2" eb="4">
      <t>チョクセツ</t>
    </rPh>
    <rPh sb="4" eb="7">
      <t>コウジヒ</t>
    </rPh>
    <phoneticPr fontId="2"/>
  </si>
  <si>
    <t>２．共通費</t>
    <rPh sb="2" eb="4">
      <t>キョウツウ</t>
    </rPh>
    <rPh sb="4" eb="5">
      <t>ヒ</t>
    </rPh>
    <phoneticPr fontId="2"/>
  </si>
  <si>
    <t>現場管理費・一般管理費等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トウ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</si>
  <si>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</si>
  <si>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共通仮設費</t>
    <rPh sb="4" eb="5">
      <t>ヒ</t>
    </rPh>
    <phoneticPr fontId="2"/>
  </si>
  <si>
    <t>作業時間</t>
    <phoneticPr fontId="2"/>
  </si>
  <si>
    <t>page</t>
    <phoneticPr fontId="2"/>
  </si>
  <si>
    <t>/</t>
    <phoneticPr fontId="2"/>
  </si>
  <si>
    <t>会所４００角</t>
    <rPh sb="0" eb="2">
      <t>カイショ</t>
    </rPh>
    <rPh sb="5" eb="6">
      <t>カク</t>
    </rPh>
    <phoneticPr fontId="2"/>
  </si>
  <si>
    <t>代価2</t>
  </si>
  <si>
    <t>未記入</t>
  </si>
  <si>
    <t>根切り (人力)</t>
  </si>
  <si>
    <t>人力根切り</t>
  </si>
  <si>
    <t>掘削量≦２０m3の場合</t>
  </si>
  <si>
    <t xml:space="preserve"> H=1200 根切共</t>
    <rPh sb="8" eb="9">
      <t>ネ</t>
    </rPh>
    <rPh sb="9" eb="10">
      <t>キリ</t>
    </rPh>
    <rPh sb="10" eb="11">
      <t>トモ</t>
    </rPh>
    <phoneticPr fontId="2"/>
  </si>
  <si>
    <t>埋戻し</t>
  </si>
  <si>
    <t>人力　締固め共</t>
  </si>
  <si>
    <t>標準</t>
  </si>
  <si>
    <t>残土積込費加算</t>
  </si>
  <si>
    <t>人力積込費</t>
  </si>
  <si>
    <t>残土処分費</t>
  </si>
  <si>
    <t>場外自由処分</t>
  </si>
  <si>
    <t>鉄筋 SD295A</t>
  </si>
  <si>
    <t>t</t>
  </si>
  <si>
    <t>鉄筋現場加工</t>
  </si>
  <si>
    <t>一般細物(D13以下)</t>
  </si>
  <si>
    <t>鉄筋組立</t>
  </si>
  <si>
    <t>RC造一般細物(D13以下)</t>
  </si>
  <si>
    <t>手練りコンクリ―ト</t>
  </si>
  <si>
    <t>練り手間含む</t>
  </si>
  <si>
    <t>打手間　　ｶｰﾄ打ち</t>
  </si>
  <si>
    <t>小型構造物</t>
  </si>
  <si>
    <t>型枠　普通型枠</t>
  </si>
  <si>
    <t>※サンプルのため、数量内容は</t>
    <rPh sb="9" eb="11">
      <t>スウリョウ</t>
    </rPh>
    <rPh sb="11" eb="13">
      <t>ナイヨウ</t>
    </rPh>
    <phoneticPr fontId="2"/>
  </si>
  <si>
    <t>　適当に記載してます。</t>
    <rPh sb="1" eb="3">
      <t>テキトウ</t>
    </rPh>
    <rPh sb="4" eb="6">
      <t>キサイ</t>
    </rPh>
    <phoneticPr fontId="2"/>
  </si>
  <si>
    <t>　撤去と新設が混在しても小運搬は</t>
    <rPh sb="1" eb="3">
      <t>テッキョ</t>
    </rPh>
    <rPh sb="4" eb="6">
      <t>シンセツ</t>
    </rPh>
    <rPh sb="7" eb="9">
      <t>コンザイ</t>
    </rPh>
    <rPh sb="12" eb="13">
      <t>ショウ</t>
    </rPh>
    <rPh sb="13" eb="15">
      <t>ウンパン</t>
    </rPh>
    <phoneticPr fontId="2"/>
  </si>
  <si>
    <t>　重量さえいれてあれば機能します</t>
    <rPh sb="1" eb="3">
      <t>ジュウリョウ</t>
    </rPh>
    <rPh sb="11" eb="13">
      <t>キノウ</t>
    </rPh>
    <phoneticPr fontId="2"/>
  </si>
  <si>
    <t>2層以下</t>
    <phoneticPr fontId="2"/>
  </si>
  <si>
    <t>m2</t>
    <phoneticPr fontId="2"/>
  </si>
  <si>
    <t>1,2階程度の転用率</t>
    <phoneticPr fontId="2"/>
  </si>
  <si>
    <t>箇所</t>
    <rPh sb="0" eb="2">
      <t>カショ</t>
    </rPh>
    <phoneticPr fontId="2"/>
  </si>
  <si>
    <t>Fc=27,sl=18</t>
  </si>
  <si>
    <t>---</t>
  </si>
  <si>
    <t>代価1</t>
    <phoneticPr fontId="2"/>
  </si>
  <si>
    <t>このページはメニューからページの削除で削除してから使用してください.</t>
    <phoneticPr fontId="2"/>
  </si>
  <si>
    <t>1:02:04</t>
    <phoneticPr fontId="2"/>
  </si>
  <si>
    <t>代価番号は、１から順に自動に割り振られます。</t>
    <rPh sb="0" eb="2">
      <t>ダイカ</t>
    </rPh>
    <rPh sb="2" eb="4">
      <t>バンゴウ</t>
    </rPh>
    <rPh sb="9" eb="10">
      <t>ジュン</t>
    </rPh>
    <rPh sb="11" eb="13">
      <t>ジドウ</t>
    </rPh>
    <rPh sb="14" eb="15">
      <t>ワ</t>
    </rPh>
    <rPh sb="16" eb="17">
      <t>フ</t>
    </rPh>
    <phoneticPr fontId="2"/>
  </si>
  <si>
    <t>シート保護されていますので、書式変更する場合は、「ツール」の「保護」からシート保護を解除してください。</t>
    <rPh sb="3" eb="5">
      <t>ホゴ</t>
    </rPh>
    <rPh sb="14" eb="16">
      <t>ショシキ</t>
    </rPh>
    <rPh sb="16" eb="18">
      <t>ヘンコウ</t>
    </rPh>
    <rPh sb="20" eb="22">
      <t>バアイ</t>
    </rPh>
    <rPh sb="31" eb="33">
      <t>ホゴ</t>
    </rPh>
    <rPh sb="39" eb="41">
      <t>ホゴ</t>
    </rPh>
    <rPh sb="42" eb="44">
      <t>カイジョ</t>
    </rPh>
    <phoneticPr fontId="2"/>
  </si>
  <si>
    <t>全項数</t>
    <rPh sb="0" eb="1">
      <t>ゼン</t>
    </rPh>
    <rPh sb="1" eb="2">
      <t>コウ</t>
    </rPh>
    <rPh sb="2" eb="3">
      <t>スウ</t>
    </rPh>
    <phoneticPr fontId="2"/>
  </si>
  <si>
    <t>cells(16,4)</t>
    <phoneticPr fontId="2"/>
  </si>
  <si>
    <t>変更点、新機能の紹介</t>
    <rPh sb="0" eb="3">
      <t>ヘンコウテン</t>
    </rPh>
    <rPh sb="4" eb="7">
      <t>シンキノウ</t>
    </rPh>
    <rPh sb="8" eb="10">
      <t>ショウカイ</t>
    </rPh>
    <phoneticPr fontId="2"/>
  </si>
  <si>
    <t>cells(18,4)</t>
    <phoneticPr fontId="2"/>
  </si>
  <si>
    <t>cells(19,4)</t>
    <phoneticPr fontId="2"/>
  </si>
  <si>
    <t>cells(25,4)</t>
    <phoneticPr fontId="2"/>
  </si>
  <si>
    <t>前回userform終了時のlistbox.fontサイズ</t>
    <rPh sb="0" eb="2">
      <t>ゼンカイ</t>
    </rPh>
    <rPh sb="10" eb="13">
      <t>シュウリョウジ</t>
    </rPh>
    <phoneticPr fontId="2"/>
  </si>
  <si>
    <t>前回userform終了時のlistbox.columWidth</t>
    <rPh sb="0" eb="2">
      <t>ゼンカイ</t>
    </rPh>
    <rPh sb="10" eb="13">
      <t>シュウリョウジ</t>
    </rPh>
    <phoneticPr fontId="2"/>
  </si>
  <si>
    <t>C045150150050170035035035035035035035</t>
    <phoneticPr fontId="2"/>
  </si>
  <si>
    <t>このファイルを初使用？(yes=1 no=0)</t>
    <rPh sb="7" eb="8">
      <t>ハツ</t>
    </rPh>
    <rPh sb="8" eb="10">
      <t>シヨウ</t>
    </rPh>
    <phoneticPr fontId="2"/>
  </si>
  <si>
    <t>cells(16,8)</t>
    <phoneticPr fontId="2"/>
  </si>
  <si>
    <t>見積業者：</t>
    <rPh sb="0" eb="2">
      <t>ミツモリ</t>
    </rPh>
    <rPh sb="2" eb="4">
      <t>ギョウシャ</t>
    </rPh>
    <phoneticPr fontId="2"/>
  </si>
  <si>
    <t>㈱</t>
    <phoneticPr fontId="2"/>
  </si>
  <si>
    <t>元　　設　　計</t>
    <rPh sb="0" eb="1">
      <t>モト</t>
    </rPh>
    <rPh sb="3" eb="4">
      <t>セツ</t>
    </rPh>
    <rPh sb="6" eb="7">
      <t>ケイ</t>
    </rPh>
    <phoneticPr fontId="2"/>
  </si>
  <si>
    <t>元設計当局単価</t>
    <rPh sb="0" eb="1">
      <t>モト</t>
    </rPh>
    <rPh sb="1" eb="3">
      <t>セッケイ</t>
    </rPh>
    <rPh sb="3" eb="5">
      <t>トウキョク</t>
    </rPh>
    <rPh sb="5" eb="7">
      <t>タンカ</t>
    </rPh>
    <phoneticPr fontId="2"/>
  </si>
  <si>
    <t>元設計今回業者見積</t>
    <rPh sb="0" eb="1">
      <t>モト</t>
    </rPh>
    <rPh sb="1" eb="3">
      <t>セッケイ</t>
    </rPh>
    <rPh sb="3" eb="5">
      <t>コンカイ</t>
    </rPh>
    <rPh sb="5" eb="7">
      <t>ギョウシャ</t>
    </rPh>
    <rPh sb="7" eb="9">
      <t>ミツモリ</t>
    </rPh>
    <phoneticPr fontId="2"/>
  </si>
  <si>
    <t>変更後今回業者見積</t>
    <rPh sb="0" eb="2">
      <t>ヘンコウ</t>
    </rPh>
    <rPh sb="2" eb="3">
      <t>ゴ</t>
    </rPh>
    <rPh sb="3" eb="5">
      <t>コンカイ</t>
    </rPh>
    <rPh sb="5" eb="7">
      <t>ギョウシャ</t>
    </rPh>
    <rPh sb="7" eb="9">
      <t>ミツモリ</t>
    </rPh>
    <phoneticPr fontId="2"/>
  </si>
  <si>
    <t>No</t>
    <phoneticPr fontId="2"/>
  </si>
  <si>
    <t>ｱｽﾌｧﾙﾄ</t>
  </si>
  <si>
    <t>木くず</t>
    <rPh sb="0" eb="1">
      <t>キ</t>
    </rPh>
    <phoneticPr fontId="2"/>
  </si>
  <si>
    <t>木くず
再生</t>
    <rPh sb="0" eb="1">
      <t>キ</t>
    </rPh>
    <rPh sb="4" eb="6">
      <t>サイセイ</t>
    </rPh>
    <phoneticPr fontId="2"/>
  </si>
  <si>
    <t>木くず
合板</t>
    <rPh sb="0" eb="1">
      <t>キ</t>
    </rPh>
    <rPh sb="4" eb="6">
      <t>ゴウハン</t>
    </rPh>
    <phoneticPr fontId="2"/>
  </si>
  <si>
    <t>石膏ボード</t>
    <rPh sb="0" eb="2">
      <t>セッコウ</t>
    </rPh>
    <phoneticPr fontId="2"/>
  </si>
  <si>
    <t>セメント板</t>
    <rPh sb="4" eb="5">
      <t>イタ</t>
    </rPh>
    <phoneticPr fontId="2"/>
  </si>
  <si>
    <t>家具・
備品</t>
    <rPh sb="0" eb="2">
      <t>カグ</t>
    </rPh>
    <rPh sb="4" eb="6">
      <t>ビヒン</t>
    </rPh>
    <phoneticPr fontId="2"/>
  </si>
  <si>
    <t>混合
廃棄物</t>
  </si>
  <si>
    <t>再生</t>
    <rPh sb="0" eb="2">
      <t>サイセイ</t>
    </rPh>
    <phoneticPr fontId="2"/>
  </si>
  <si>
    <t>合板</t>
    <rPh sb="0" eb="2">
      <t>ゴウハン</t>
    </rPh>
    <phoneticPr fontId="2"/>
  </si>
  <si>
    <t>陶磁器</t>
    <rPh sb="0" eb="3">
      <t>トウジキ</t>
    </rPh>
    <phoneticPr fontId="2"/>
  </si>
  <si>
    <t>繊維</t>
    <rPh sb="0" eb="2">
      <t>センイ</t>
    </rPh>
    <phoneticPr fontId="2"/>
  </si>
  <si>
    <t>石膏</t>
    <rPh sb="0" eb="2">
      <t>セッコウ</t>
    </rPh>
    <phoneticPr fontId="2"/>
  </si>
  <si>
    <t>家具・</t>
    <rPh sb="0" eb="2">
      <t>カグ</t>
    </rPh>
    <phoneticPr fontId="2"/>
  </si>
  <si>
    <t>備品</t>
    <rPh sb="0" eb="2">
      <t>ビヒン</t>
    </rPh>
    <phoneticPr fontId="2"/>
  </si>
  <si>
    <t>混合</t>
    <rPh sb="0" eb="2">
      <t>コンゴウ</t>
    </rPh>
    <phoneticPr fontId="2"/>
  </si>
  <si>
    <t>廃棄物</t>
    <rPh sb="0" eb="3">
      <t>ハイキブツ</t>
    </rPh>
    <phoneticPr fontId="2"/>
  </si>
  <si>
    <t>型枠　運搬費</t>
    <phoneticPr fontId="2"/>
  </si>
  <si>
    <t>木くず
再生</t>
  </si>
  <si>
    <t>木くず
合板</t>
  </si>
  <si>
    <t>石膏ボード</t>
  </si>
  <si>
    <t>セメント板</t>
  </si>
  <si>
    <t>家具・
備品</t>
  </si>
  <si>
    <t>合　計</t>
    <rPh sb="0" eb="1">
      <t>ゴウ</t>
    </rPh>
    <rPh sb="2" eb="3">
      <t>ケイ</t>
    </rPh>
    <phoneticPr fontId="2"/>
  </si>
  <si>
    <t>変更工事価格</t>
    <rPh sb="0" eb="2">
      <t>ヘンコウ</t>
    </rPh>
    <rPh sb="2" eb="4">
      <t>コウジ</t>
    </rPh>
    <rPh sb="4" eb="6">
      <t>カカク</t>
    </rPh>
    <phoneticPr fontId="2"/>
  </si>
  <si>
    <t>○○工事</t>
    <rPh sb="2" eb="4">
      <t>コウジ</t>
    </rPh>
    <phoneticPr fontId="2"/>
  </si>
  <si>
    <t>A:</t>
    <phoneticPr fontId="2"/>
  </si>
  <si>
    <t>B:</t>
    <phoneticPr fontId="2"/>
  </si>
  <si>
    <t>C:</t>
    <phoneticPr fontId="2"/>
  </si>
  <si>
    <t>ｺｰﾄﾞNo</t>
    <phoneticPr fontId="2"/>
  </si>
  <si>
    <t>金属工事   見積金額比較表</t>
    <rPh sb="0" eb="2">
      <t>キンゾク</t>
    </rPh>
    <phoneticPr fontId="2"/>
  </si>
  <si>
    <t>調整率＝＞</t>
    <rPh sb="0" eb="2">
      <t>チョウセイ</t>
    </rPh>
    <rPh sb="2" eb="3">
      <t>リツ</t>
    </rPh>
    <phoneticPr fontId="2"/>
  </si>
  <si>
    <t>ｺｰﾄﾞ</t>
  </si>
  <si>
    <t>作業</t>
  </si>
  <si>
    <t>運搬</t>
  </si>
  <si>
    <t>調整後単価</t>
    <rPh sb="0" eb="3">
      <t>チョウセイゴ</t>
    </rPh>
    <rPh sb="3" eb="4">
      <t>タン</t>
    </rPh>
    <rPh sb="4" eb="5">
      <t>アタイ</t>
    </rPh>
    <phoneticPr fontId="2"/>
  </si>
  <si>
    <t>（△印は減額）</t>
    <rPh sb="2" eb="3">
      <t>シルシ</t>
    </rPh>
    <rPh sb="4" eb="6">
      <t>ゲンガク</t>
    </rPh>
    <phoneticPr fontId="2"/>
  </si>
  <si>
    <t>作業時間</t>
  </si>
  <si>
    <t>名　　　　　　　　　　　称</t>
    <rPh sb="0" eb="1">
      <t>メイ</t>
    </rPh>
    <rPh sb="12" eb="13">
      <t>ショウ</t>
    </rPh>
    <phoneticPr fontId="2"/>
  </si>
  <si>
    <t>数　　　量</t>
    <rPh sb="0" eb="1">
      <t>カズ</t>
    </rPh>
    <rPh sb="4" eb="5">
      <t>リョウ</t>
    </rPh>
    <phoneticPr fontId="2"/>
  </si>
  <si>
    <t>単　　価</t>
    <rPh sb="0" eb="1">
      <t>タン</t>
    </rPh>
    <rPh sb="3" eb="4">
      <t>アタイ</t>
    </rPh>
    <phoneticPr fontId="2"/>
  </si>
  <si>
    <t>金　　　　　　　　額</t>
    <rPh sb="0" eb="1">
      <t>キン</t>
    </rPh>
    <rPh sb="9" eb="10">
      <t>ガク</t>
    </rPh>
    <phoneticPr fontId="2"/>
  </si>
  <si>
    <t>差引増減</t>
    <rPh sb="0" eb="2">
      <t>サシヒキ</t>
    </rPh>
    <rPh sb="2" eb="4">
      <t>ゾウゲン</t>
    </rPh>
    <phoneticPr fontId="2"/>
  </si>
  <si>
    <t>摘　　　　　　要</t>
    <rPh sb="0" eb="1">
      <t>チャク</t>
    </rPh>
    <rPh sb="7" eb="8">
      <t>ヨウ</t>
    </rPh>
    <phoneticPr fontId="2"/>
  </si>
  <si>
    <t>増</t>
    <rPh sb="0" eb="1">
      <t>ゾウ</t>
    </rPh>
    <phoneticPr fontId="2"/>
  </si>
  <si>
    <t>減</t>
    <rPh sb="0" eb="1">
      <t>ゲン</t>
    </rPh>
    <phoneticPr fontId="2"/>
  </si>
  <si>
    <t>既発注工事費</t>
    <rPh sb="0" eb="3">
      <t>キハッチュウ</t>
    </rPh>
    <rPh sb="3" eb="6">
      <t>コウジヒ</t>
    </rPh>
    <phoneticPr fontId="2"/>
  </si>
  <si>
    <t>今回工事費</t>
    <rPh sb="0" eb="2">
      <t>コンカイ</t>
    </rPh>
    <rPh sb="2" eb="5">
      <t>コウジヒ</t>
    </rPh>
    <phoneticPr fontId="2"/>
  </si>
  <si>
    <t>金　　　額</t>
    <rPh sb="0" eb="1">
      <t>キン</t>
    </rPh>
    <rPh sb="4" eb="5">
      <t>ガク</t>
    </rPh>
    <phoneticPr fontId="2"/>
  </si>
  <si>
    <t>共通費共</t>
    <rPh sb="0" eb="2">
      <t>キョウツウ</t>
    </rPh>
    <rPh sb="2" eb="3">
      <t>ヒ</t>
    </rPh>
    <rPh sb="3" eb="4">
      <t>トモ</t>
    </rPh>
    <phoneticPr fontId="2"/>
  </si>
  <si>
    <t>page</t>
    <phoneticPr fontId="2"/>
  </si>
  <si>
    <t>総内訳が２ﾍﾟｰｼﾞ以上になる場合、I２5ｾﾙに必要なﾍﾟｰｼﾞ数を記入。</t>
    <rPh sb="0" eb="1">
      <t>ソウ</t>
    </rPh>
    <rPh sb="1" eb="3">
      <t>ウチワケショ</t>
    </rPh>
    <rPh sb="10" eb="12">
      <t>イジョウ</t>
    </rPh>
    <rPh sb="15" eb="17">
      <t>バアイ</t>
    </rPh>
    <rPh sb="24" eb="26">
      <t>ヒツヨウ</t>
    </rPh>
    <rPh sb="32" eb="33">
      <t>スウ</t>
    </rPh>
    <rPh sb="34" eb="36">
      <t>キニュウ</t>
    </rPh>
    <phoneticPr fontId="2"/>
  </si>
  <si>
    <t>図面・仕様書どおり</t>
    <rPh sb="0" eb="2">
      <t>ズメン</t>
    </rPh>
    <rPh sb="3" eb="6">
      <t>シヨウショ</t>
    </rPh>
    <phoneticPr fontId="2"/>
  </si>
  <si>
    <t>材料運搬重量</t>
    <rPh sb="0" eb="2">
      <t>ザイリョウ</t>
    </rPh>
    <rPh sb="2" eb="4">
      <t>ウンパン</t>
    </rPh>
    <rPh sb="4" eb="6">
      <t>ジュウリョウ</t>
    </rPh>
    <phoneticPr fontId="2"/>
  </si>
  <si>
    <t>ｺﾝｸﾘｰﾄ</t>
    <phoneticPr fontId="2"/>
  </si>
  <si>
    <t>廃プラ</t>
    <phoneticPr fontId="2"/>
  </si>
  <si>
    <t>がれき</t>
    <phoneticPr fontId="2"/>
  </si>
  <si>
    <t>廃プラ
(ｱｽﾍﾞ)</t>
    <phoneticPr fontId="2"/>
  </si>
  <si>
    <t>積込加算(ｽｸﾗｯﾌﾟ含む)</t>
  </si>
  <si>
    <t>残材車両積載重量</t>
  </si>
  <si>
    <t>残材車両積載重量(ｽｸﾗｯﾌﾟ)</t>
  </si>
  <si>
    <t>残材運搬車両積載重量(ｽｸﾗｯﾌﾟ)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</si>
  <si>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ボード</t>
    <phoneticPr fontId="2"/>
  </si>
  <si>
    <t>　ト板</t>
    <phoneticPr fontId="2"/>
  </si>
  <si>
    <t>(ｱｽﾍﾞ)</t>
    <phoneticPr fontId="2"/>
  </si>
  <si>
    <t>EOL2</t>
    <phoneticPr fontId="2"/>
  </si>
  <si>
    <t>廃プラ(ｱｽﾍﾞ)</t>
    <phoneticPr fontId="2"/>
  </si>
  <si>
    <t>4.00β</t>
  </si>
  <si>
    <t>元設計類似</t>
    <rPh sb="0" eb="1">
      <t>モト</t>
    </rPh>
    <rPh sb="1" eb="3">
      <t>セッケイ</t>
    </rPh>
    <rPh sb="3" eb="5">
      <t>ルイジ</t>
    </rPh>
    <phoneticPr fontId="2"/>
  </si>
  <si>
    <t>変更後今回見積業者</t>
    <rPh sb="0" eb="2">
      <t>ヘンコウ</t>
    </rPh>
    <rPh sb="2" eb="3">
      <t>ゴ</t>
    </rPh>
    <rPh sb="3" eb="5">
      <t>コンカイ</t>
    </rPh>
    <rPh sb="5" eb="7">
      <t>ミツモリ</t>
    </rPh>
    <rPh sb="7" eb="9">
      <t>ギョウシャ</t>
    </rPh>
    <phoneticPr fontId="2"/>
  </si>
  <si>
    <t>差引金額</t>
    <rPh sb="0" eb="2">
      <t>サシヒキ</t>
    </rPh>
    <rPh sb="2" eb="4">
      <t>キンガク</t>
    </rPh>
    <phoneticPr fontId="2"/>
  </si>
  <si>
    <t>類似単価</t>
    <rPh sb="0" eb="2">
      <t>ルイジ</t>
    </rPh>
    <rPh sb="2" eb="4">
      <t>タンカ</t>
    </rPh>
    <phoneticPr fontId="2"/>
  </si>
  <si>
    <t>計</t>
    <rPh sb="0" eb="1">
      <t>ケイ</t>
    </rPh>
    <phoneticPr fontId="2"/>
  </si>
  <si>
    <t>変　　更　　後</t>
    <phoneticPr fontId="2"/>
  </si>
  <si>
    <t>前ﾍﾟｰｼﾞから続きの場合「１」を入力　→</t>
    <phoneticPr fontId="2"/>
  </si>
  <si>
    <t>累計</t>
    <rPh sb="0" eb="2">
      <t>ルイケイケイ</t>
    </rPh>
    <phoneticPr fontId="2"/>
  </si>
  <si>
    <t>累計</t>
    <rPh sb="0" eb="1">
      <t>ルイ</t>
    </rPh>
    <rPh sb="1" eb="2">
      <t>ケイ</t>
    </rPh>
    <phoneticPr fontId="2"/>
  </si>
  <si>
    <t>1A</t>
    <phoneticPr fontId="2"/>
  </si>
  <si>
    <t>2A</t>
    <phoneticPr fontId="2"/>
  </si>
  <si>
    <t>3A</t>
    <phoneticPr fontId="2"/>
  </si>
  <si>
    <t>4A</t>
    <phoneticPr fontId="2"/>
  </si>
  <si>
    <t>小運搬重量（材料＋残材）</t>
    <phoneticPr fontId="2"/>
  </si>
  <si>
    <t>材料運搬重量</t>
    <phoneticPr fontId="2"/>
  </si>
  <si>
    <t>残材小運搬重量</t>
    <phoneticPr fontId="2"/>
  </si>
  <si>
    <t>残材車両積載重量（ｱｽﾍﾞｽﾄ）</t>
    <rPh sb="0" eb="2">
      <t>ザンザイ</t>
    </rPh>
    <rPh sb="2" eb="4">
      <t>シャリョウ</t>
    </rPh>
    <rPh sb="4" eb="6">
      <t>セキサイ</t>
    </rPh>
    <rPh sb="6" eb="8">
      <t>ジュウリョウ</t>
    </rPh>
    <phoneticPr fontId="2"/>
  </si>
  <si>
    <t>残材小運搬重量(全て含む)</t>
    <rPh sb="0" eb="1">
      <t>ザン</t>
    </rPh>
    <rPh sb="1" eb="2">
      <t>ザイ</t>
    </rPh>
    <rPh sb="2" eb="3">
      <t>コ</t>
    </rPh>
    <rPh sb="3" eb="5">
      <t>ウンパン</t>
    </rPh>
    <rPh sb="5" eb="7">
      <t>ジュウリョウ</t>
    </rPh>
    <rPh sb="8" eb="9">
      <t>スベ</t>
    </rPh>
    <phoneticPr fontId="2"/>
  </si>
  <si>
    <t>残材運搬車両積載重量(ｽｸﾗｯﾌﾟ・ｱｽﾍﾞ除く)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rPh sb="22" eb="23">
      <t>ノゾ</t>
    </rPh>
    <phoneticPr fontId="2"/>
  </si>
  <si>
    <t>残材運搬車両積載重量(ｱｽﾍﾞｽﾄ)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</si>
  <si>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ｱｽﾍﾞ重量</t>
    <rPh sb="4" eb="6">
      <t>ジュウリョウ</t>
    </rPh>
    <phoneticPr fontId="2"/>
  </si>
  <si>
    <t>total　</t>
    <phoneticPr fontId="2"/>
  </si>
  <si>
    <t>==&gt;&gt;</t>
    <phoneticPr fontId="2"/>
  </si>
  <si>
    <t>EOL1</t>
    <phoneticPr fontId="2"/>
  </si>
  <si>
    <t>スクラップ</t>
    <phoneticPr fontId="2"/>
  </si>
  <si>
    <t>ｺﾝｸﾘｰﾄ</t>
    <phoneticPr fontId="2"/>
  </si>
  <si>
    <t>ｱｽﾌｧﾙﾄ</t>
    <phoneticPr fontId="2"/>
  </si>
  <si>
    <t>廃プラ</t>
    <phoneticPr fontId="2"/>
  </si>
  <si>
    <t>ガラス</t>
    <phoneticPr fontId="2"/>
  </si>
  <si>
    <t>セメン</t>
    <phoneticPr fontId="2"/>
  </si>
  <si>
    <t>ｱﾙﾐ</t>
    <phoneticPr fontId="2"/>
  </si>
  <si>
    <t>くず</t>
    <phoneticPr fontId="2"/>
  </si>
  <si>
    <t>（ｱｽﾍﾞ）</t>
    <phoneticPr fontId="2"/>
  </si>
  <si>
    <t>がれき</t>
    <phoneticPr fontId="2"/>
  </si>
  <si>
    <t>廃プラ
(ｱｽﾍﾞ)</t>
    <phoneticPr fontId="2"/>
  </si>
  <si>
    <t>石膏ボード（ｱｽﾍﾞ）</t>
    <rPh sb="0" eb="2">
      <t>セッコウ</t>
    </rPh>
    <phoneticPr fontId="2"/>
  </si>
  <si>
    <t>セメント板　　　（ｱｽﾍﾞ）</t>
    <rPh sb="4" eb="5">
      <t>バン</t>
    </rPh>
    <phoneticPr fontId="2"/>
  </si>
  <si>
    <t>ｽﾃﾝﾚｽ</t>
    <phoneticPr fontId="2"/>
  </si>
  <si>
    <t>アルミ</t>
    <phoneticPr fontId="2"/>
  </si>
  <si>
    <t>　　　　　　　　　　設　計　変　更　工　事　費　内　訳　書</t>
    <rPh sb="10" eb="11">
      <t>セツ</t>
    </rPh>
    <rPh sb="12" eb="13">
      <t>ケイ</t>
    </rPh>
    <rPh sb="14" eb="15">
      <t>ヘン</t>
    </rPh>
    <rPh sb="16" eb="17">
      <t>サラ</t>
    </rPh>
    <rPh sb="18" eb="19">
      <t>タクミ</t>
    </rPh>
    <rPh sb="20" eb="21">
      <t>コト</t>
    </rPh>
    <rPh sb="22" eb="23">
      <t>ヒ</t>
    </rPh>
    <rPh sb="24" eb="25">
      <t>ウチ</t>
    </rPh>
    <rPh sb="26" eb="27">
      <t>ヤク</t>
    </rPh>
    <rPh sb="28" eb="29">
      <t>ショ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</si>
  <si>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0" eb="11">
      <t>コト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</si>
  <si>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</si>
  <si>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ワケ</t>
    </rPh>
    <rPh sb="18" eb="19">
      <t>ショ</t>
    </rPh>
    <phoneticPr fontId="2"/>
  </si>
  <si>
    <t>内訳書決裁欄</t>
    <rPh sb="0" eb="3">
      <t>ウチワケショ</t>
    </rPh>
    <rPh sb="3" eb="5">
      <t>ケッサイ</t>
    </rPh>
    <rPh sb="5" eb="6">
      <t>ラン</t>
    </rPh>
    <phoneticPr fontId="2"/>
  </si>
  <si>
    <t>建築資産管理担当</t>
    <rPh sb="0" eb="2">
      <t>ケンチク</t>
    </rPh>
    <rPh sb="2" eb="4">
      <t>シサン</t>
    </rPh>
    <rPh sb="4" eb="6">
      <t>カンリ</t>
    </rPh>
    <rPh sb="6" eb="8">
      <t>タントウ</t>
    </rPh>
    <phoneticPr fontId="2"/>
  </si>
  <si>
    <t>建築課長</t>
    <rPh sb="0" eb="2">
      <t>ケンチク</t>
    </rPh>
    <rPh sb="2" eb="4">
      <t>カチョウ</t>
    </rPh>
    <phoneticPr fontId="2"/>
  </si>
  <si>
    <t>係員</t>
    <rPh sb="0" eb="2">
      <t>カカリイン</t>
    </rPh>
    <phoneticPr fontId="2"/>
  </si>
  <si>
    <t>係長</t>
    <rPh sb="0" eb="2">
      <t>カカリチョウ</t>
    </rPh>
    <phoneticPr fontId="2"/>
  </si>
  <si>
    <t>単価台帳ver</t>
    <rPh sb="0" eb="2">
      <t>タンカ</t>
    </rPh>
    <rPh sb="2" eb="4">
      <t>ダイチョウ</t>
    </rPh>
    <phoneticPr fontId="2"/>
  </si>
  <si>
    <t>工事稟議番号</t>
    <rPh sb="0" eb="2">
      <t>コウジ</t>
    </rPh>
    <rPh sb="2" eb="4">
      <t>リンギ</t>
    </rPh>
    <rPh sb="4" eb="6">
      <t>バンゴウ</t>
    </rPh>
    <phoneticPr fontId="2"/>
  </si>
  <si>
    <t>明細コード</t>
    <rPh sb="0" eb="2">
      <t>メイサイ</t>
    </rPh>
    <phoneticPr fontId="2"/>
  </si>
  <si>
    <t>内訳書決裁日</t>
    <rPh sb="0" eb="3">
      <t>ウチワケショ</t>
    </rPh>
    <rPh sb="3" eb="5">
      <t>ケッサイ</t>
    </rPh>
    <rPh sb="5" eb="6">
      <t>ヒ</t>
    </rPh>
    <phoneticPr fontId="2"/>
  </si>
  <si>
    <t>工事担当係長</t>
    <rPh sb="0" eb="2">
      <t>コウジ</t>
    </rPh>
    <rPh sb="2" eb="4">
      <t>タントウ</t>
    </rPh>
    <rPh sb="4" eb="6">
      <t>カカリチョウ</t>
    </rPh>
    <phoneticPr fontId="2"/>
  </si>
  <si>
    <t>工事担当者</t>
    <rPh sb="0" eb="2">
      <t>コウジ</t>
    </rPh>
    <rPh sb="2" eb="5">
      <t>タントウシャ</t>
    </rPh>
    <phoneticPr fontId="2"/>
  </si>
  <si>
    <t>明細情報</t>
    <rPh sb="0" eb="2">
      <t>メイサイ</t>
    </rPh>
    <rPh sb="2" eb="4">
      <t>ジョウホウ</t>
    </rPh>
    <phoneticPr fontId="2"/>
  </si>
  <si>
    <t>標準単価金額無2018.xls</t>
    <phoneticPr fontId="2"/>
  </si>
  <si>
    <t>標準単価2018.xls</t>
    <phoneticPr fontId="2"/>
  </si>
  <si>
    <t>このシートのページ数を変更したい場合は、必要ページ数を入力↓</t>
    <rPh sb="9" eb="10">
      <t>スウ</t>
    </rPh>
    <rPh sb="11" eb="13">
      <t>ヘンコウ</t>
    </rPh>
    <rPh sb="16" eb="18">
      <t>バアイ</t>
    </rPh>
    <rPh sb="20" eb="22">
      <t>ヒツヨウ</t>
    </rPh>
    <rPh sb="25" eb="26">
      <t>スウ</t>
    </rPh>
    <rPh sb="27" eb="29">
      <t>ニュウリョク</t>
    </rPh>
    <phoneticPr fontId="2"/>
  </si>
  <si>
    <t>内装仕上げ工事</t>
    <rPh sb="0" eb="2">
      <t>ナイソウ</t>
    </rPh>
    <rPh sb="2" eb="4">
      <t>シア</t>
    </rPh>
    <rPh sb="5" eb="7">
      <t>コウジ</t>
    </rPh>
    <phoneticPr fontId="2"/>
  </si>
  <si>
    <t>建具工事</t>
    <rPh sb="0" eb="2">
      <t>タテグ</t>
    </rPh>
    <rPh sb="2" eb="4">
      <t>コウジ</t>
    </rPh>
    <phoneticPr fontId="2"/>
  </si>
  <si>
    <t>資産管理明細書</t>
    <rPh sb="0" eb="2">
      <t>シサン</t>
    </rPh>
    <rPh sb="2" eb="4">
      <t>カンリ</t>
    </rPh>
    <rPh sb="4" eb="7">
      <t>メイサイショ</t>
    </rPh>
    <phoneticPr fontId="2"/>
  </si>
  <si>
    <t>事業案
稟議番号</t>
    <rPh sb="0" eb="2">
      <t>ジギョウ</t>
    </rPh>
    <rPh sb="2" eb="3">
      <t>アン</t>
    </rPh>
    <rPh sb="4" eb="6">
      <t>リンギ</t>
    </rPh>
    <rPh sb="6" eb="8">
      <t>バンゴウ</t>
    </rPh>
    <phoneticPr fontId="2"/>
  </si>
  <si>
    <t>プロジェクトコード</t>
    <phoneticPr fontId="2"/>
  </si>
  <si>
    <t>番号</t>
    <rPh sb="0" eb="2">
      <t>バンゴウ</t>
    </rPh>
    <phoneticPr fontId="2"/>
  </si>
  <si>
    <t>費目名称
工事種別名称</t>
    <rPh sb="0" eb="2">
      <t>ヒモク</t>
    </rPh>
    <rPh sb="2" eb="4">
      <t>メイショウ</t>
    </rPh>
    <rPh sb="5" eb="7">
      <t>コウジ</t>
    </rPh>
    <rPh sb="7" eb="9">
      <t>シュベツ</t>
    </rPh>
    <rPh sb="9" eb="11">
      <t>メイショウ</t>
    </rPh>
    <phoneticPr fontId="2"/>
  </si>
  <si>
    <t>資産名称</t>
    <rPh sb="0" eb="2">
      <t>シサン</t>
    </rPh>
    <rPh sb="2" eb="4">
      <t>メイショウ</t>
    </rPh>
    <phoneticPr fontId="2"/>
  </si>
  <si>
    <t>財務分類</t>
    <rPh sb="0" eb="2">
      <t>ザイム</t>
    </rPh>
    <rPh sb="2" eb="4">
      <t>ブンルイ</t>
    </rPh>
    <phoneticPr fontId="2"/>
  </si>
  <si>
    <t>予算掌理部</t>
    <rPh sb="0" eb="2">
      <t>ヨサン</t>
    </rPh>
    <rPh sb="2" eb="4">
      <t>ショウリ</t>
    </rPh>
    <rPh sb="4" eb="5">
      <t>ブ</t>
    </rPh>
    <phoneticPr fontId="2"/>
  </si>
  <si>
    <t>1</t>
  </si>
  <si>
    <t>経営戦略・グループ戦略部</t>
    <rPh sb="0" eb="2">
      <t>ケイエイ</t>
    </rPh>
    <rPh sb="2" eb="4">
      <t>センリャク</t>
    </rPh>
    <rPh sb="9" eb="11">
      <t>センリャク</t>
    </rPh>
    <rPh sb="11" eb="12">
      <t>ブ</t>
    </rPh>
    <phoneticPr fontId="38"/>
  </si>
  <si>
    <t>2</t>
  </si>
  <si>
    <t>新規事業開発部</t>
    <rPh sb="0" eb="2">
      <t>シンキ</t>
    </rPh>
    <rPh sb="2" eb="4">
      <t>ジギョウ</t>
    </rPh>
    <rPh sb="4" eb="7">
      <t>カイハツブ</t>
    </rPh>
    <phoneticPr fontId="38"/>
  </si>
  <si>
    <t>3</t>
  </si>
  <si>
    <t>総務部</t>
  </si>
  <si>
    <t>4</t>
  </si>
  <si>
    <t>財務部</t>
  </si>
  <si>
    <t>5</t>
  </si>
  <si>
    <t>調達部</t>
  </si>
  <si>
    <t>7</t>
  </si>
  <si>
    <t>駅務部</t>
    <rPh sb="0" eb="2">
      <t>エキム</t>
    </rPh>
    <rPh sb="2" eb="3">
      <t>ブ</t>
    </rPh>
    <phoneticPr fontId="38"/>
  </si>
  <si>
    <t>8</t>
  </si>
  <si>
    <t>運転部</t>
  </si>
  <si>
    <t>9</t>
  </si>
  <si>
    <t>営業部</t>
  </si>
  <si>
    <t>A</t>
  </si>
  <si>
    <t>電気部</t>
    <rPh sb="0" eb="2">
      <t>デンキ</t>
    </rPh>
    <rPh sb="2" eb="3">
      <t>ブ</t>
    </rPh>
    <phoneticPr fontId="38"/>
  </si>
  <si>
    <t>B</t>
  </si>
  <si>
    <t>車両部</t>
    <rPh sb="0" eb="2">
      <t>シャリョウ</t>
    </rPh>
    <rPh sb="2" eb="3">
      <t>ブ</t>
    </rPh>
    <phoneticPr fontId="38"/>
  </si>
  <si>
    <t>C</t>
  </si>
  <si>
    <t>工務部</t>
    <rPh sb="0" eb="2">
      <t>コウム</t>
    </rPh>
    <rPh sb="2" eb="3">
      <t>ブ</t>
    </rPh>
    <phoneticPr fontId="38"/>
  </si>
  <si>
    <t>D</t>
  </si>
  <si>
    <t>建築部</t>
    <rPh sb="0" eb="2">
      <t>ケンチク</t>
    </rPh>
    <rPh sb="2" eb="3">
      <t>ブ</t>
    </rPh>
    <phoneticPr fontId="38"/>
  </si>
  <si>
    <t>E</t>
  </si>
  <si>
    <t>安全推進室</t>
    <rPh sb="0" eb="4">
      <t>アンゼンスイシン</t>
    </rPh>
    <rPh sb="4" eb="5">
      <t>シツ</t>
    </rPh>
    <phoneticPr fontId="42"/>
  </si>
  <si>
    <t>F</t>
  </si>
  <si>
    <t>監査室</t>
    <rPh sb="0" eb="2">
      <t>カンサ</t>
    </rPh>
    <rPh sb="2" eb="3">
      <t>シツ</t>
    </rPh>
    <phoneticPr fontId="38"/>
  </si>
  <si>
    <t>G</t>
  </si>
  <si>
    <t>人事部</t>
    <rPh sb="0" eb="2">
      <t>ジンジ</t>
    </rPh>
    <rPh sb="2" eb="3">
      <t>ブ</t>
    </rPh>
    <phoneticPr fontId="38"/>
  </si>
  <si>
    <t>H</t>
  </si>
  <si>
    <t>監査役室</t>
  </si>
  <si>
    <t>【資産区分】
空白の場合は
建物-鉄コン造で計上</t>
    <rPh sb="1" eb="3">
      <t>シサン</t>
    </rPh>
    <rPh sb="3" eb="5">
      <t>クブン</t>
    </rPh>
    <rPh sb="7" eb="9">
      <t>クウハク</t>
    </rPh>
    <rPh sb="10" eb="12">
      <t>バアイ</t>
    </rPh>
    <rPh sb="14" eb="16">
      <t>タテモノ</t>
    </rPh>
    <rPh sb="17" eb="18">
      <t>テツ</t>
    </rPh>
    <rPh sb="20" eb="21">
      <t>ツク</t>
    </rPh>
    <rPh sb="22" eb="24">
      <t>ケイジョウ</t>
    </rPh>
    <phoneticPr fontId="2"/>
  </si>
  <si>
    <t>【資産区分】
空白の場合は
建物-鉄コン造で計上</t>
    <phoneticPr fontId="2"/>
  </si>
  <si>
    <t>資　産　ク　ラ　ス　分　割　表</t>
    <rPh sb="0" eb="1">
      <t>シ</t>
    </rPh>
    <rPh sb="2" eb="3">
      <t>サン</t>
    </rPh>
    <rPh sb="10" eb="11">
      <t>ブン</t>
    </rPh>
    <rPh sb="12" eb="13">
      <t>ワリ</t>
    </rPh>
    <rPh sb="14" eb="15">
      <t>ヒョウ</t>
    </rPh>
    <phoneticPr fontId="2"/>
  </si>
  <si>
    <t>計上区分　資産or費用を選択⇒</t>
    <rPh sb="0" eb="2">
      <t>ケイジョウ</t>
    </rPh>
    <rPh sb="2" eb="4">
      <t>クブン</t>
    </rPh>
    <rPh sb="5" eb="7">
      <t>シサン</t>
    </rPh>
    <rPh sb="9" eb="11">
      <t>ヒヨウ</t>
    </rPh>
    <rPh sb="12" eb="14">
      <t>センタク</t>
    </rPh>
    <phoneticPr fontId="2"/>
  </si>
  <si>
    <t>資産</t>
  </si>
  <si>
    <t>直接工事費</t>
    <rPh sb="0" eb="2">
      <t>チョクセツ</t>
    </rPh>
    <rPh sb="2" eb="5">
      <t>コウジヒ</t>
    </rPh>
    <phoneticPr fontId="2"/>
  </si>
  <si>
    <t>直接仮設費</t>
    <rPh sb="0" eb="2">
      <t>チョクセツ</t>
    </rPh>
    <rPh sb="2" eb="4">
      <t>カセツ</t>
    </rPh>
    <rPh sb="4" eb="5">
      <t>ヒ</t>
    </rPh>
    <phoneticPr fontId="2"/>
  </si>
  <si>
    <t>部分撤去工事</t>
    <rPh sb="0" eb="2">
      <t>ブブン</t>
    </rPh>
    <rPh sb="2" eb="4">
      <t>テッキョ</t>
    </rPh>
    <rPh sb="4" eb="6">
      <t>コウジ</t>
    </rPh>
    <phoneticPr fontId="2"/>
  </si>
  <si>
    <t>直接仮設及び部分撤去工事を除く直接工事費</t>
    <rPh sb="0" eb="2">
      <t>チョクセツ</t>
    </rPh>
    <rPh sb="2" eb="4">
      <t>カセツ</t>
    </rPh>
    <rPh sb="4" eb="5">
      <t>オヨ</t>
    </rPh>
    <rPh sb="6" eb="8">
      <t>ブブン</t>
    </rPh>
    <rPh sb="8" eb="10">
      <t>テッキョ</t>
    </rPh>
    <rPh sb="10" eb="12">
      <t>コウジ</t>
    </rPh>
    <rPh sb="13" eb="14">
      <t>ノゾ</t>
    </rPh>
    <rPh sb="15" eb="17">
      <t>チョクセツ</t>
    </rPh>
    <rPh sb="17" eb="19">
      <t>コウジ</t>
    </rPh>
    <rPh sb="19" eb="20">
      <t>ヒ</t>
    </rPh>
    <phoneticPr fontId="2"/>
  </si>
  <si>
    <t>資産</t>
    <rPh sb="0" eb="2">
      <t>シサン</t>
    </rPh>
    <phoneticPr fontId="2"/>
  </si>
  <si>
    <t>うち部分撤去工事</t>
    <rPh sb="2" eb="4">
      <t>ブブン</t>
    </rPh>
    <rPh sb="4" eb="6">
      <t>テッキョ</t>
    </rPh>
    <rPh sb="6" eb="8">
      <t>コウジ</t>
    </rPh>
    <phoneticPr fontId="2"/>
  </si>
  <si>
    <t>費用</t>
    <rPh sb="0" eb="2">
      <t>ヒヨウ</t>
    </rPh>
    <phoneticPr fontId="2"/>
  </si>
  <si>
    <t>共通費</t>
    <rPh sb="0" eb="2">
      <t>キョウツウ</t>
    </rPh>
    <rPh sb="2" eb="3">
      <t>ヒ</t>
    </rPh>
    <phoneticPr fontId="2"/>
  </si>
  <si>
    <t>　　うち、共通仮設費 　</t>
    <rPh sb="5" eb="7">
      <t>キョウツウ</t>
    </rPh>
    <rPh sb="7" eb="9">
      <t>カセツ</t>
    </rPh>
    <rPh sb="9" eb="10">
      <t>ヒ</t>
    </rPh>
    <phoneticPr fontId="2"/>
  </si>
  <si>
    <t xml:space="preserve">　　うち、現場管理費　 </t>
    <rPh sb="5" eb="7">
      <t>ゲンバ</t>
    </rPh>
    <rPh sb="7" eb="10">
      <t>カンリヒ</t>
    </rPh>
    <phoneticPr fontId="2"/>
  </si>
  <si>
    <t>　　うち、一般管理費等</t>
    <rPh sb="5" eb="7">
      <t>イッパン</t>
    </rPh>
    <rPh sb="7" eb="10">
      <t>カンリヒ</t>
    </rPh>
    <rPh sb="10" eb="11">
      <t>トウ</t>
    </rPh>
    <phoneticPr fontId="2"/>
  </si>
  <si>
    <t>工事価格</t>
    <rPh sb="0" eb="2">
      <t>コウジ</t>
    </rPh>
    <rPh sb="2" eb="4">
      <t>カカク</t>
    </rPh>
    <phoneticPr fontId="2"/>
  </si>
  <si>
    <t>０５建物　直接工事費</t>
    <rPh sb="2" eb="4">
      <t>タテモノ</t>
    </rPh>
    <rPh sb="5" eb="7">
      <t>チョクセツ</t>
    </rPh>
    <rPh sb="7" eb="10">
      <t>コウジヒ</t>
    </rPh>
    <phoneticPr fontId="2"/>
  </si>
  <si>
    <t>耐用年数</t>
    <rPh sb="0" eb="2">
      <t>タイヨウ</t>
    </rPh>
    <rPh sb="2" eb="4">
      <t>ネンスウ</t>
    </rPh>
    <phoneticPr fontId="2"/>
  </si>
  <si>
    <t>勘定科目「項」--&gt;</t>
    <rPh sb="5" eb="6">
      <t>コウ</t>
    </rPh>
    <phoneticPr fontId="2"/>
  </si>
  <si>
    <t>05建物</t>
    <rPh sb="2" eb="4">
      <t>タテモノ</t>
    </rPh>
    <phoneticPr fontId="2"/>
  </si>
  <si>
    <t>（直接仮設・部分撤去・費用を除く）</t>
    <phoneticPr fontId="2"/>
  </si>
  <si>
    <t>勘定科目「目」を選択--&gt;</t>
    <rPh sb="5" eb="6">
      <t>モク</t>
    </rPh>
    <phoneticPr fontId="2"/>
  </si>
  <si>
    <t>007停車場建物</t>
  </si>
  <si>
    <t>01</t>
    <phoneticPr fontId="2"/>
  </si>
  <si>
    <t>建築仕上げ</t>
    <rPh sb="0" eb="2">
      <t>ケンチク</t>
    </rPh>
    <rPh sb="2" eb="4">
      <t>シア</t>
    </rPh>
    <phoneticPr fontId="2"/>
  </si>
  <si>
    <t>鉄コン造</t>
    <phoneticPr fontId="2"/>
  </si>
  <si>
    <t>02</t>
    <phoneticPr fontId="2"/>
  </si>
  <si>
    <t>れんが石ブロック造</t>
    <phoneticPr fontId="2"/>
  </si>
  <si>
    <t>03</t>
    <phoneticPr fontId="2"/>
  </si>
  <si>
    <t>金属造(4mm超)</t>
    <phoneticPr fontId="2"/>
  </si>
  <si>
    <t>04</t>
    <phoneticPr fontId="2"/>
  </si>
  <si>
    <t>金属造(3mm超4mm以下)</t>
    <phoneticPr fontId="2"/>
  </si>
  <si>
    <t>05</t>
    <phoneticPr fontId="2"/>
  </si>
  <si>
    <t>金属造(肉厚が3mm以下)</t>
    <phoneticPr fontId="2"/>
  </si>
  <si>
    <t>06</t>
    <phoneticPr fontId="2"/>
  </si>
  <si>
    <t>木造又は合成樹脂造</t>
    <phoneticPr fontId="2"/>
  </si>
  <si>
    <t>07</t>
    <phoneticPr fontId="2"/>
  </si>
  <si>
    <t>木骨モルタル造</t>
    <phoneticPr fontId="2"/>
  </si>
  <si>
    <t>08</t>
    <phoneticPr fontId="2"/>
  </si>
  <si>
    <t>簡易建物(木製主要柱10cm角以下)</t>
    <phoneticPr fontId="2"/>
  </si>
  <si>
    <t>09</t>
    <phoneticPr fontId="2"/>
  </si>
  <si>
    <t>簡易建物(掘立造　仮設のもの)</t>
    <phoneticPr fontId="2"/>
  </si>
  <si>
    <t>10</t>
    <phoneticPr fontId="2"/>
  </si>
  <si>
    <t>当該課確認</t>
    <rPh sb="0" eb="2">
      <t>トウガイ</t>
    </rPh>
    <rPh sb="2" eb="3">
      <t>カ</t>
    </rPh>
    <rPh sb="3" eb="5">
      <t>カクニン</t>
    </rPh>
    <phoneticPr fontId="2"/>
  </si>
  <si>
    <t>電気設備(照明設備を含む)-蓄電池電源設備</t>
    <phoneticPr fontId="2"/>
  </si>
  <si>
    <t>11</t>
    <phoneticPr fontId="2"/>
  </si>
  <si>
    <t>電気設備(照明設備を含む)-その他のもの</t>
    <phoneticPr fontId="2"/>
  </si>
  <si>
    <t>12</t>
    <phoneticPr fontId="2"/>
  </si>
  <si>
    <t>給排水又は衛生設備及びガス設備</t>
    <phoneticPr fontId="2"/>
  </si>
  <si>
    <t>13</t>
    <phoneticPr fontId="2"/>
  </si>
  <si>
    <t>冷暖房・通風・ボイラー設備-22kw以下</t>
    <phoneticPr fontId="2"/>
  </si>
  <si>
    <t>14</t>
    <phoneticPr fontId="2"/>
  </si>
  <si>
    <t>冷暖房・通風・ボイラー設備-その他のもの</t>
    <phoneticPr fontId="2"/>
  </si>
  <si>
    <t>15</t>
    <phoneticPr fontId="2"/>
  </si>
  <si>
    <t>昇降機設備-エレベーター</t>
    <phoneticPr fontId="2"/>
  </si>
  <si>
    <t>16</t>
    <phoneticPr fontId="2"/>
  </si>
  <si>
    <t>昇降機設備-エスカレーター</t>
    <phoneticPr fontId="2"/>
  </si>
  <si>
    <t>17</t>
    <phoneticPr fontId="2"/>
  </si>
  <si>
    <t>消火・排煙・災害報知設備及び格納式避難設備</t>
    <phoneticPr fontId="2"/>
  </si>
  <si>
    <t>18</t>
    <phoneticPr fontId="2"/>
  </si>
  <si>
    <t>建物附属設備</t>
    <rPh sb="0" eb="2">
      <t>タテモノ</t>
    </rPh>
    <rPh sb="2" eb="4">
      <t>フゾク</t>
    </rPh>
    <rPh sb="4" eb="6">
      <t>セツビ</t>
    </rPh>
    <phoneticPr fontId="2"/>
  </si>
  <si>
    <t>エヤーカーテン又はドアー自動開閉設備</t>
    <phoneticPr fontId="2"/>
  </si>
  <si>
    <t>19</t>
    <phoneticPr fontId="2"/>
  </si>
  <si>
    <t>アーケード又は日よけ設備-金属製</t>
    <phoneticPr fontId="2"/>
  </si>
  <si>
    <t>20</t>
    <phoneticPr fontId="2"/>
  </si>
  <si>
    <t>アーケード又は日よけ設備-その他のもの-停車場建物</t>
  </si>
  <si>
    <t>21</t>
    <phoneticPr fontId="2"/>
  </si>
  <si>
    <t>店用簡易設備-停車場建物</t>
  </si>
  <si>
    <t>22</t>
    <phoneticPr fontId="2"/>
  </si>
  <si>
    <t>可動簡易装備-簡易なもの</t>
    <phoneticPr fontId="2"/>
  </si>
  <si>
    <t>23</t>
    <phoneticPr fontId="2"/>
  </si>
  <si>
    <t>可動簡易装備-その他のもの</t>
    <phoneticPr fontId="2"/>
  </si>
  <si>
    <t>24</t>
    <phoneticPr fontId="2"/>
  </si>
  <si>
    <t>前掲以外・前掲区分外-主として金属製のもの</t>
    <phoneticPr fontId="2"/>
  </si>
  <si>
    <t>25</t>
    <phoneticPr fontId="2"/>
  </si>
  <si>
    <t>前掲以外・前掲区分外-その他のもの</t>
    <phoneticPr fontId="2"/>
  </si>
  <si>
    <t>資産計上建物　計</t>
    <rPh sb="0" eb="2">
      <t>シサン</t>
    </rPh>
    <rPh sb="2" eb="4">
      <t>ケイジョウ</t>
    </rPh>
    <rPh sb="4" eb="6">
      <t>タテモノ</t>
    </rPh>
    <rPh sb="7" eb="8">
      <t>ケイ</t>
    </rPh>
    <phoneticPr fontId="2"/>
  </si>
  <si>
    <t>１０構築物　直接工事費</t>
    <rPh sb="2" eb="5">
      <t>コウチクブツ</t>
    </rPh>
    <rPh sb="6" eb="8">
      <t>チョクセツ</t>
    </rPh>
    <rPh sb="8" eb="11">
      <t>コウジヒ</t>
    </rPh>
    <phoneticPr fontId="2"/>
  </si>
  <si>
    <t>10構築物</t>
    <rPh sb="2" eb="5">
      <t>コウチクブツ</t>
    </rPh>
    <phoneticPr fontId="2"/>
  </si>
  <si>
    <t>（直接仮設・部分撤去・費用を除く）</t>
    <phoneticPr fontId="2"/>
  </si>
  <si>
    <t>勘定科目「目」--&gt;</t>
    <rPh sb="5" eb="6">
      <t>モク</t>
    </rPh>
    <phoneticPr fontId="2"/>
  </si>
  <si>
    <t>024雑設備</t>
    <rPh sb="3" eb="4">
      <t>ザツ</t>
    </rPh>
    <rPh sb="4" eb="6">
      <t>セツビ</t>
    </rPh>
    <phoneticPr fontId="2"/>
  </si>
  <si>
    <t>（停車場設備）</t>
    <rPh sb="1" eb="4">
      <t>テイシャジョウ</t>
    </rPh>
    <rPh sb="4" eb="6">
      <t>セツビ</t>
    </rPh>
    <phoneticPr fontId="2"/>
  </si>
  <si>
    <t>01</t>
    <phoneticPr fontId="2"/>
  </si>
  <si>
    <t>舗装</t>
    <rPh sb="0" eb="2">
      <t>ホソウ</t>
    </rPh>
    <phoneticPr fontId="2"/>
  </si>
  <si>
    <t>駅前広場舗装等</t>
    <rPh sb="0" eb="1">
      <t>エキ</t>
    </rPh>
    <rPh sb="1" eb="2">
      <t>マエ</t>
    </rPh>
    <rPh sb="2" eb="4">
      <t>ヒロバ</t>
    </rPh>
    <rPh sb="4" eb="6">
      <t>ホソウ</t>
    </rPh>
    <rPh sb="6" eb="7">
      <t>トウ</t>
    </rPh>
    <phoneticPr fontId="2"/>
  </si>
  <si>
    <t>02</t>
  </si>
  <si>
    <t>その他</t>
    <phoneticPr fontId="2"/>
  </si>
  <si>
    <t>その他</t>
    <phoneticPr fontId="2"/>
  </si>
  <si>
    <t>（諸構築物）</t>
    <phoneticPr fontId="2"/>
  </si>
  <si>
    <t>コンクリ・ブロック・レンガ・石敷</t>
    <rPh sb="14" eb="15">
      <t>イシ</t>
    </rPh>
    <rPh sb="15" eb="16">
      <t>シキ</t>
    </rPh>
    <phoneticPr fontId="2"/>
  </si>
  <si>
    <t>アスファルト・木れんか敷</t>
    <rPh sb="7" eb="8">
      <t>キ</t>
    </rPh>
    <rPh sb="11" eb="12">
      <t>シキ</t>
    </rPh>
    <phoneticPr fontId="2"/>
  </si>
  <si>
    <t>03</t>
  </si>
  <si>
    <t>ビチューマルス敷</t>
    <rPh sb="7" eb="8">
      <t>シキ</t>
    </rPh>
    <phoneticPr fontId="2"/>
  </si>
  <si>
    <t>04</t>
  </si>
  <si>
    <t>へい</t>
    <phoneticPr fontId="2"/>
  </si>
  <si>
    <t>鉄骨鉄筋コン造・鉄コン造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</si>
  <si>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05</t>
  </si>
  <si>
    <t>その他</t>
    <rPh sb="2" eb="3">
      <t>タ</t>
    </rPh>
    <phoneticPr fontId="2"/>
  </si>
  <si>
    <t>06</t>
  </si>
  <si>
    <t>へい</t>
    <phoneticPr fontId="2"/>
  </si>
  <si>
    <t>コン造・コンクリートブロック造</t>
    <rPh sb="2" eb="3">
      <t>ゾウ</t>
    </rPh>
    <rPh sb="14" eb="15">
      <t>ゾウ</t>
    </rPh>
    <phoneticPr fontId="2"/>
  </si>
  <si>
    <t>07</t>
  </si>
  <si>
    <t>08</t>
  </si>
  <si>
    <t>金属造</t>
    <rPh sb="0" eb="2">
      <t>キンゾク</t>
    </rPh>
    <rPh sb="2" eb="3">
      <t>ゾウ</t>
    </rPh>
    <phoneticPr fontId="2"/>
  </si>
  <si>
    <t>09</t>
  </si>
  <si>
    <t>10</t>
    <phoneticPr fontId="2"/>
  </si>
  <si>
    <t>木造</t>
    <rPh sb="0" eb="1">
      <t>モク</t>
    </rPh>
    <rPh sb="1" eb="2">
      <t>ゾウ</t>
    </rPh>
    <phoneticPr fontId="2"/>
  </si>
  <si>
    <t>11</t>
    <phoneticPr fontId="2"/>
  </si>
  <si>
    <t>資産計上構築物　計</t>
    <rPh sb="0" eb="2">
      <t>シサン</t>
    </rPh>
    <rPh sb="2" eb="4">
      <t>ケイジョウ</t>
    </rPh>
    <rPh sb="4" eb="7">
      <t>コウチクブツ</t>
    </rPh>
    <rPh sb="8" eb="9">
      <t>ケイ</t>
    </rPh>
    <phoneticPr fontId="2"/>
  </si>
  <si>
    <t>２５工具・器具・備品　直接工事費</t>
    <rPh sb="2" eb="4">
      <t>コウグ</t>
    </rPh>
    <rPh sb="5" eb="7">
      <t>キグ</t>
    </rPh>
    <rPh sb="8" eb="10">
      <t>ビヒン</t>
    </rPh>
    <rPh sb="11" eb="13">
      <t>チョクセツ</t>
    </rPh>
    <rPh sb="13" eb="16">
      <t>コウジヒ</t>
    </rPh>
    <phoneticPr fontId="2"/>
  </si>
  <si>
    <t>25工具・器具・備品</t>
    <phoneticPr fontId="2"/>
  </si>
  <si>
    <t>（直接仮設・部分撤去・費用を除く）</t>
    <phoneticPr fontId="2"/>
  </si>
  <si>
    <t>059工具・器具・備品</t>
    <phoneticPr fontId="2"/>
  </si>
  <si>
    <t>12505958</t>
  </si>
  <si>
    <t>看板・広告機器-(主として金属製)</t>
    <phoneticPr fontId="2"/>
  </si>
  <si>
    <t>01</t>
    <phoneticPr fontId="2"/>
  </si>
  <si>
    <t>電照サイン</t>
    <rPh sb="0" eb="2">
      <t>デンショウ</t>
    </rPh>
    <phoneticPr fontId="2"/>
  </si>
  <si>
    <t>＊器具本体・金属枠・板面共</t>
    <rPh sb="1" eb="3">
      <t>キグ</t>
    </rPh>
    <rPh sb="3" eb="5">
      <t>ホンタイ</t>
    </rPh>
    <rPh sb="6" eb="8">
      <t>キンゾク</t>
    </rPh>
    <rPh sb="8" eb="9">
      <t>ワク</t>
    </rPh>
    <rPh sb="10" eb="12">
      <t>バンメン</t>
    </rPh>
    <rPh sb="12" eb="13">
      <t>トモ</t>
    </rPh>
    <phoneticPr fontId="2"/>
  </si>
  <si>
    <t>非電照サイン</t>
    <rPh sb="0" eb="1">
      <t>ヒ</t>
    </rPh>
    <rPh sb="1" eb="3">
      <t>デンショウ</t>
    </rPh>
    <phoneticPr fontId="2"/>
  </si>
  <si>
    <t>電照広告</t>
    <rPh sb="0" eb="2">
      <t>デンショウ</t>
    </rPh>
    <rPh sb="2" eb="4">
      <t>コウコク</t>
    </rPh>
    <phoneticPr fontId="2"/>
  </si>
  <si>
    <t>非電照広告</t>
    <rPh sb="0" eb="1">
      <t>ヒ</t>
    </rPh>
    <rPh sb="1" eb="2">
      <t>デン</t>
    </rPh>
    <rPh sb="2" eb="3">
      <t>テ</t>
    </rPh>
    <rPh sb="3" eb="5">
      <t>コウコク</t>
    </rPh>
    <phoneticPr fontId="2"/>
  </si>
  <si>
    <t>電気設備</t>
    <rPh sb="0" eb="2">
      <t>デンキ</t>
    </rPh>
    <rPh sb="2" eb="4">
      <t>セツビ</t>
    </rPh>
    <phoneticPr fontId="2"/>
  </si>
  <si>
    <t>12505959</t>
  </si>
  <si>
    <t>看板・広告機器-その他のもの</t>
    <phoneticPr fontId="2"/>
  </si>
  <si>
    <t>＊枠無し板面のみ</t>
    <rPh sb="1" eb="2">
      <t>ワク</t>
    </rPh>
    <rPh sb="2" eb="3">
      <t>ナ</t>
    </rPh>
    <rPh sb="4" eb="5">
      <t>イタ</t>
    </rPh>
    <rPh sb="5" eb="6">
      <t>メン</t>
    </rPh>
    <phoneticPr fontId="2"/>
  </si>
  <si>
    <t>非電照広告</t>
    <rPh sb="0" eb="1">
      <t>ヒ</t>
    </rPh>
    <rPh sb="1" eb="3">
      <t>デンショウ</t>
    </rPh>
    <rPh sb="3" eb="5">
      <t>コウコク</t>
    </rPh>
    <phoneticPr fontId="2"/>
  </si>
  <si>
    <t>12505988</t>
    <phoneticPr fontId="2"/>
  </si>
  <si>
    <t>無人駐車管理装置</t>
    <rPh sb="0" eb="2">
      <t>ムジン</t>
    </rPh>
    <rPh sb="2" eb="4">
      <t>チュウシャ</t>
    </rPh>
    <rPh sb="4" eb="6">
      <t>カンリ</t>
    </rPh>
    <rPh sb="6" eb="8">
      <t>ソウチ</t>
    </rPh>
    <phoneticPr fontId="2"/>
  </si>
  <si>
    <t>12505990</t>
    <phoneticPr fontId="2"/>
  </si>
  <si>
    <t>その他（金造製）</t>
    <rPh sb="2" eb="3">
      <t>タ</t>
    </rPh>
    <rPh sb="4" eb="5">
      <t>キン</t>
    </rPh>
    <rPh sb="6" eb="7">
      <t>セイ</t>
    </rPh>
    <phoneticPr fontId="2"/>
  </si>
  <si>
    <t>12505991</t>
    <phoneticPr fontId="2"/>
  </si>
  <si>
    <t>その他（その他）</t>
    <rPh sb="2" eb="3">
      <t>タ</t>
    </rPh>
    <rPh sb="6" eb="7">
      <t>タ</t>
    </rPh>
    <phoneticPr fontId="2"/>
  </si>
  <si>
    <t>資産計上工具・器具・備品計</t>
    <rPh sb="0" eb="2">
      <t>シサン</t>
    </rPh>
    <rPh sb="2" eb="4">
      <t>ケイジョウ</t>
    </rPh>
    <rPh sb="4" eb="6">
      <t>コウグ</t>
    </rPh>
    <rPh sb="7" eb="9">
      <t>キグ</t>
    </rPh>
    <rPh sb="10" eb="12">
      <t>ビヒン</t>
    </rPh>
    <rPh sb="12" eb="13">
      <t>ケイ</t>
    </rPh>
    <phoneticPr fontId="2"/>
  </si>
  <si>
    <t>資産　直接工事費（直接仮設・費用・部分撤去工事を除く）合計</t>
    <rPh sb="0" eb="2">
      <t>シサン</t>
    </rPh>
    <rPh sb="3" eb="5">
      <t>チョクセツ</t>
    </rPh>
    <rPh sb="5" eb="7">
      <t>コウジ</t>
    </rPh>
    <rPh sb="7" eb="8">
      <t>ヒ</t>
    </rPh>
    <rPh sb="9" eb="11">
      <t>チョクセツ</t>
    </rPh>
    <rPh sb="11" eb="13">
      <t>カセツ</t>
    </rPh>
    <rPh sb="14" eb="16">
      <t>ヒヨウ</t>
    </rPh>
    <rPh sb="17" eb="19">
      <t>ブブン</t>
    </rPh>
    <rPh sb="19" eb="21">
      <t>テッキョ</t>
    </rPh>
    <rPh sb="21" eb="23">
      <t>コウジ</t>
    </rPh>
    <rPh sb="24" eb="25">
      <t>ノゾ</t>
    </rPh>
    <rPh sb="27" eb="29">
      <t>ゴウケイ</t>
    </rPh>
    <phoneticPr fontId="2"/>
  </si>
  <si>
    <t>資　産　ク　ラ　ス　・　計　上　区　分</t>
    <rPh sb="0" eb="1">
      <t>シ</t>
    </rPh>
    <rPh sb="2" eb="3">
      <t>サン</t>
    </rPh>
    <rPh sb="12" eb="13">
      <t>ケイ</t>
    </rPh>
    <rPh sb="14" eb="15">
      <t>ウエ</t>
    </rPh>
    <rPh sb="16" eb="17">
      <t>ク</t>
    </rPh>
    <rPh sb="18" eb="19">
      <t>ブン</t>
    </rPh>
    <phoneticPr fontId="2"/>
  </si>
  <si>
    <t>合計</t>
    <rPh sb="0" eb="2">
      <t>ゴウケイ</t>
    </rPh>
    <phoneticPr fontId="2"/>
  </si>
  <si>
    <t>鉄骨鉄筋コンクリート造又は鉄筋コンクリート造-停車場建物</t>
    <phoneticPr fontId="2"/>
  </si>
  <si>
    <t>れんが造、石造又はブロック造-停車場建物</t>
    <phoneticPr fontId="2"/>
  </si>
  <si>
    <t>金属造(骨格材の肉厚が4mm超)-停車場建物</t>
    <phoneticPr fontId="2"/>
  </si>
  <si>
    <t>金属造(骨格材の肉厚が3mm超4mm以下)-停車場建物</t>
    <phoneticPr fontId="2"/>
  </si>
  <si>
    <t>金属造(骨格材の肉厚が3mm以下)-停車場建物</t>
    <phoneticPr fontId="2"/>
  </si>
  <si>
    <t>木造又は合成樹脂造-停車場建物</t>
    <phoneticPr fontId="2"/>
  </si>
  <si>
    <t>木骨モルタル造-停車場建物</t>
    <phoneticPr fontId="2"/>
  </si>
  <si>
    <t>簡易建物(木製主要柱が10cm角以下で土居、杉皮ぶき等)-停車場建物</t>
    <phoneticPr fontId="2"/>
  </si>
  <si>
    <t>簡易建物(掘立造のもの及び仮設のもの)-停車場建物</t>
    <phoneticPr fontId="2"/>
  </si>
  <si>
    <t>電気設備(照明設備を含む)-蓄電池電源設備-停車場建物</t>
    <phoneticPr fontId="2"/>
  </si>
  <si>
    <t>電気設備(照明設備を含む)-その他のもの-停車場建物</t>
    <phoneticPr fontId="2"/>
  </si>
  <si>
    <t>給排水又は衛生設備及びガス設備-停車場建物</t>
    <phoneticPr fontId="2"/>
  </si>
  <si>
    <t>冷暖房・通風・ボイラー設備-22kw以下-停車場建物</t>
    <phoneticPr fontId="2"/>
  </si>
  <si>
    <t>冷暖房・通風・ボイラー設備-その他のもの-停車場建物</t>
    <phoneticPr fontId="2"/>
  </si>
  <si>
    <t>昇降機設備-エレベーター-停車場建物</t>
    <phoneticPr fontId="2"/>
  </si>
  <si>
    <t>昇降機設備-エスカレーター-停車場建物</t>
    <phoneticPr fontId="2"/>
  </si>
  <si>
    <t>消火・排煙・災害報知設備及び格納式避難設備-停車場建物</t>
    <phoneticPr fontId="2"/>
  </si>
  <si>
    <t>エヤーカーテン又はドアー自動開閉設備-停車場建物</t>
    <phoneticPr fontId="2"/>
  </si>
  <si>
    <t>アーケード又は日よけ設備-金属製-停車場建物</t>
    <phoneticPr fontId="2"/>
  </si>
  <si>
    <t>アーケード又は日よけ設備-その他のもの-停車場建物</t>
    <phoneticPr fontId="2"/>
  </si>
  <si>
    <t>店用簡易設備-停車場建物</t>
    <phoneticPr fontId="2"/>
  </si>
  <si>
    <t>可動簡易装備-簡易なもの-停車場建物</t>
    <phoneticPr fontId="2"/>
  </si>
  <si>
    <t>可動簡易装備-その他のもの-停車場建物</t>
    <phoneticPr fontId="2"/>
  </si>
  <si>
    <t>前掲以外・前掲区分外-主として金属製のもの-停車場建物</t>
    <phoneticPr fontId="2"/>
  </si>
  <si>
    <t>前掲以外・前掲区分外-その他のもの-停車場建物</t>
    <phoneticPr fontId="2"/>
  </si>
  <si>
    <t>鉄骨鉄筋コンクリート造又は鉄筋コンクリート造-変電所建物</t>
    <phoneticPr fontId="2"/>
  </si>
  <si>
    <t>れんが造、石造又はブロック造-変電所建物</t>
    <phoneticPr fontId="2"/>
  </si>
  <si>
    <t>金属造(骨格材の肉厚が4mm超)-変電所建物</t>
    <phoneticPr fontId="2"/>
  </si>
  <si>
    <t>金属造(骨格材の肉厚が3mm超4mm以下)-変電所建物</t>
    <phoneticPr fontId="2"/>
  </si>
  <si>
    <t>金属造(骨格材の肉厚が3mm以下)-変電所建物</t>
    <phoneticPr fontId="2"/>
  </si>
  <si>
    <t>木造又は合成樹脂造-変電所建物</t>
    <phoneticPr fontId="2"/>
  </si>
  <si>
    <t>木骨モルタル造-変電所建物</t>
    <phoneticPr fontId="2"/>
  </si>
  <si>
    <t>簡易建物(木製主要柱が10cm角以下で土居、杉皮ぶき等)-変電所建物</t>
    <phoneticPr fontId="2"/>
  </si>
  <si>
    <t>簡易建物(掘立造のもの及び仮設のもの)-変電所建物</t>
    <phoneticPr fontId="2"/>
  </si>
  <si>
    <t>電気設備(照明設備を含む)-蓄電池電源設備-変電所建物</t>
    <phoneticPr fontId="2"/>
  </si>
  <si>
    <t>電気設備(照明設備を含む)-その他のもの-変電所建物</t>
    <phoneticPr fontId="2"/>
  </si>
  <si>
    <t>給排水又は衛生設備及びガス設備-変電所建物</t>
    <phoneticPr fontId="2"/>
  </si>
  <si>
    <t>冷暖房・通風・ボイラー設備-22kw以下-変電所建物</t>
    <phoneticPr fontId="2"/>
  </si>
  <si>
    <t>冷暖房・通風・ボイラー設備-その他のもの-変電所建物</t>
    <phoneticPr fontId="2"/>
  </si>
  <si>
    <t>昇降機設備-エレベーター-変電所建物</t>
    <phoneticPr fontId="2"/>
  </si>
  <si>
    <t>昇降機設備-エスカレーター-変電所建物</t>
    <phoneticPr fontId="2"/>
  </si>
  <si>
    <t>消火・排煙・災害報知設備及び格納式避難設備-変電所建物</t>
    <phoneticPr fontId="2"/>
  </si>
  <si>
    <t>エヤーカーテン又はドアー自動開閉設備-変電所建物</t>
    <phoneticPr fontId="2"/>
  </si>
  <si>
    <t>アーケード又は日よけ設備-金属製-変電所建物</t>
    <phoneticPr fontId="2"/>
  </si>
  <si>
    <t>アーケード又は日よけ設備-その他のもの-変電所建物</t>
    <phoneticPr fontId="2"/>
  </si>
  <si>
    <t>店用簡易設備-変電所建物</t>
    <phoneticPr fontId="2"/>
  </si>
  <si>
    <t>可動簡易装備-簡易なもの-変電所建物</t>
    <phoneticPr fontId="2"/>
  </si>
  <si>
    <t>可動簡易装備-その他のもの-変電所建物</t>
    <phoneticPr fontId="2"/>
  </si>
  <si>
    <t>前掲以外・前掲区分外-主として金属製のもの-変電所建物</t>
    <phoneticPr fontId="2"/>
  </si>
  <si>
    <t>前掲以外・前掲区分外-その他のもの-変電所建物</t>
    <phoneticPr fontId="2"/>
  </si>
  <si>
    <t>鉄骨鉄筋コンクリート造又は鉄筋コンクリート造-車庫・工場</t>
    <phoneticPr fontId="2"/>
  </si>
  <si>
    <t>れんが造、石造又はブロック造-車庫・工場</t>
    <phoneticPr fontId="2"/>
  </si>
  <si>
    <t>金属造(骨格材の肉厚が4mm超)-車庫・工場</t>
    <phoneticPr fontId="2"/>
  </si>
  <si>
    <t>金属造(骨格材の肉厚が3mm超4mm以下)-車庫・工場</t>
    <phoneticPr fontId="2"/>
  </si>
  <si>
    <t>金属造(骨格材の肉厚が3mm以下)-車庫・工場</t>
    <phoneticPr fontId="2"/>
  </si>
  <si>
    <t>木造又は合成樹脂造-車庫・工場</t>
    <phoneticPr fontId="2"/>
  </si>
  <si>
    <t>木骨モルタル造-車庫・工場</t>
    <phoneticPr fontId="2"/>
  </si>
  <si>
    <t>簡易建物(木製主要柱が10cm角以下で土居、杉皮ぶき等)-車庫・工場</t>
    <phoneticPr fontId="2"/>
  </si>
  <si>
    <t>簡易建物(掘立造のもの及び仮設のもの)-車庫・工場</t>
    <phoneticPr fontId="2"/>
  </si>
  <si>
    <t>電気設備(照明設備を含む)-蓄電池電源設備-車庫・工場</t>
    <phoneticPr fontId="2"/>
  </si>
  <si>
    <t>電気設備(照明設備を含む)-その他のもの-車庫・工場</t>
    <phoneticPr fontId="2"/>
  </si>
  <si>
    <t>給排水又は衛生設備及びガス設備-車庫・工場</t>
    <phoneticPr fontId="2"/>
  </si>
  <si>
    <t>冷暖房・通風・ボイラー設備-22kw以下-車庫・工場</t>
    <phoneticPr fontId="2"/>
  </si>
  <si>
    <t>冷暖房・通風・ボイラー設備-その他のもの-車庫・工場</t>
    <phoneticPr fontId="2"/>
  </si>
  <si>
    <t>鉄有固-運送施設 建物付属設備-</t>
    <phoneticPr fontId="2"/>
  </si>
  <si>
    <t>昇降機設備-エスカレーター-車庫・工場</t>
    <phoneticPr fontId="2"/>
  </si>
  <si>
    <t>消火・排煙・災害報知設備及び格納式避難設備-車庫・工場</t>
    <phoneticPr fontId="2"/>
  </si>
  <si>
    <t>エヤーカーテン又はドアー自動開閉設備-車庫・工場</t>
    <phoneticPr fontId="2"/>
  </si>
  <si>
    <t>アーケード又は日よけ設備-金属製-車庫・工場</t>
    <phoneticPr fontId="2"/>
  </si>
  <si>
    <t>アーケード又は日よけ設備-その他のもの-車庫・工場</t>
    <phoneticPr fontId="2"/>
  </si>
  <si>
    <t>店用簡易設備-車庫・工場</t>
    <phoneticPr fontId="2"/>
  </si>
  <si>
    <t>可動簡易装備-簡易なもの-車庫・工場</t>
    <phoneticPr fontId="2"/>
  </si>
  <si>
    <t>可動簡易装備-その他のもの-車庫・工場</t>
    <phoneticPr fontId="2"/>
  </si>
  <si>
    <t>前掲以外・前掲区分外-主として金属製のもの-車庫・工場</t>
    <phoneticPr fontId="2"/>
  </si>
  <si>
    <t>前掲以外・前掲区分外-その他のもの-車庫・工場</t>
    <phoneticPr fontId="2"/>
  </si>
  <si>
    <t>鉄骨鉄筋コンクリート造又は鉄筋コンクリート造-倉庫建物</t>
    <phoneticPr fontId="2"/>
  </si>
  <si>
    <t>れんが造、石造又はブロック造-倉庫建物</t>
    <phoneticPr fontId="2"/>
  </si>
  <si>
    <t>金属造(骨格材の肉厚が4mm超)-倉庫建物</t>
    <phoneticPr fontId="2"/>
  </si>
  <si>
    <t>金属造(骨格材の肉厚が3mm超4mm以下)-倉庫建物</t>
    <phoneticPr fontId="2"/>
  </si>
  <si>
    <t>金属造(骨格材の肉厚が3mm以下)-倉庫建物</t>
    <phoneticPr fontId="2"/>
  </si>
  <si>
    <t>木造又は合成樹脂造-倉庫建物</t>
    <phoneticPr fontId="2"/>
  </si>
  <si>
    <t>木骨モルタル造-倉庫建物</t>
    <phoneticPr fontId="2"/>
  </si>
  <si>
    <t>簡易建物(木製主要柱が10cm角以下で土居、杉皮ぶき等)-倉庫建物</t>
    <phoneticPr fontId="2"/>
  </si>
  <si>
    <t>簡易建物(掘立造のもの及び仮設のもの)-倉庫建物</t>
    <phoneticPr fontId="2"/>
  </si>
  <si>
    <t>電気設備(照明設備を含む)-蓄電池電源設備-倉庫建物</t>
    <phoneticPr fontId="2"/>
  </si>
  <si>
    <t>電気設備(照明設備を含む)-その他のもの-倉庫建物</t>
    <phoneticPr fontId="2"/>
  </si>
  <si>
    <t>給排水又は衛生設備及びガス設備-倉庫建物</t>
    <phoneticPr fontId="2"/>
  </si>
  <si>
    <t>冷暖房・通風・ボイラー設備-22kw以下-倉庫建物</t>
    <phoneticPr fontId="2"/>
  </si>
  <si>
    <t>冷暖房・通風・ボイラー設備-その他のもの-倉庫建物</t>
    <phoneticPr fontId="2"/>
  </si>
  <si>
    <t>昇降機設備-エレベーター-倉庫建物</t>
    <phoneticPr fontId="2"/>
  </si>
  <si>
    <t>昇降機設備-エスカレーター-倉庫建物</t>
    <phoneticPr fontId="2"/>
  </si>
  <si>
    <t>消火・排煙・災害報知設備及び格納式避難設備-倉庫建物</t>
    <phoneticPr fontId="2"/>
  </si>
  <si>
    <t>エヤーカーテン又はドアー自動開閉設備-倉庫建物</t>
    <phoneticPr fontId="2"/>
  </si>
  <si>
    <t>アーケード又は日よけ設備-金属製-倉庫建物</t>
    <phoneticPr fontId="2"/>
  </si>
  <si>
    <t>アーケード又は日よけ設備-その他のもの-倉庫建物</t>
    <phoneticPr fontId="2"/>
  </si>
  <si>
    <t>店用簡易設備-倉庫建物</t>
    <phoneticPr fontId="2"/>
  </si>
  <si>
    <t>可動簡易装備-簡易なもの-倉庫建物</t>
    <phoneticPr fontId="2"/>
  </si>
  <si>
    <t>可動簡易装備-その他のもの-倉庫建物</t>
    <phoneticPr fontId="2"/>
  </si>
  <si>
    <t>前掲以外・前掲区分外-主として金属製のもの-倉庫建物</t>
    <phoneticPr fontId="2"/>
  </si>
  <si>
    <t>前掲以外・前掲区分外-その他のもの-倉庫建物</t>
    <phoneticPr fontId="2"/>
  </si>
  <si>
    <t>鉄骨鉄筋コンクリート造又は鉄筋コンクリート造-詰所建物</t>
    <phoneticPr fontId="2"/>
  </si>
  <si>
    <t>れんが造、石造又はブロック造-詰所建物</t>
    <phoneticPr fontId="2"/>
  </si>
  <si>
    <t>金属造(骨格材の肉厚が4mm超)-詰所建物</t>
    <phoneticPr fontId="2"/>
  </si>
  <si>
    <t>金属造(骨格材の肉厚が3mm超4mm以下)-詰所建物</t>
    <phoneticPr fontId="2"/>
  </si>
  <si>
    <t>金属造(骨格材の肉厚が3mm以下)-詰所建物</t>
    <phoneticPr fontId="2"/>
  </si>
  <si>
    <t>木造又は合成樹脂造-詰所建物</t>
    <phoneticPr fontId="2"/>
  </si>
  <si>
    <t>木骨モルタル造-詰所建物</t>
    <phoneticPr fontId="2"/>
  </si>
  <si>
    <t>簡易建物(木製主要柱が10cm角以下で土居、杉皮ぶき等)-詰所建物</t>
    <phoneticPr fontId="2"/>
  </si>
  <si>
    <t>簡易建物(掘立造のもの及び仮設のもの)-詰所建物</t>
    <phoneticPr fontId="2"/>
  </si>
  <si>
    <t>電気設備(照明設備を含む)-蓄電池電源設備-詰所建物</t>
    <phoneticPr fontId="2"/>
  </si>
  <si>
    <t>電気設備(照明設備を含む)-その他のもの-詰所建物</t>
    <phoneticPr fontId="2"/>
  </si>
  <si>
    <t>給排水又は衛生設備及びガス設備-詰所建物</t>
    <phoneticPr fontId="2"/>
  </si>
  <si>
    <t>冷暖房・通風・ボイラー設備-22kw以下-詰所建物</t>
    <phoneticPr fontId="2"/>
  </si>
  <si>
    <t>冷暖房・通風・ボイラー設備-その他のもの-詰所建物</t>
    <phoneticPr fontId="2"/>
  </si>
  <si>
    <t>昇降機設備-エレベーター-詰所建物</t>
    <phoneticPr fontId="2"/>
  </si>
  <si>
    <t>昇降機設備-エスカレーター-詰所建物</t>
    <phoneticPr fontId="2"/>
  </si>
  <si>
    <t>消火・排煙・災害報知設備及び格納式避難設備-詰所建物</t>
    <phoneticPr fontId="2"/>
  </si>
  <si>
    <t>エヤーカーテン又はドアー自動開閉設備-詰所建物</t>
    <phoneticPr fontId="2"/>
  </si>
  <si>
    <t>アーケード又は日よけ設備-金属製-詰所建物</t>
    <phoneticPr fontId="2"/>
  </si>
  <si>
    <t>アーケード又は日よけ設備-その他のもの-詰所建物</t>
    <phoneticPr fontId="2"/>
  </si>
  <si>
    <t>店用簡易設備-詰所建物</t>
    <phoneticPr fontId="2"/>
  </si>
  <si>
    <t>可動簡易装備-簡易なもの-詰所建物</t>
    <phoneticPr fontId="2"/>
  </si>
  <si>
    <t>可動簡易装備-その他のもの-詰所建物</t>
    <phoneticPr fontId="2"/>
  </si>
  <si>
    <t>前掲以外・前掲区分外-主として金属製のもの-詰所建物</t>
    <phoneticPr fontId="2"/>
  </si>
  <si>
    <t>前掲以外・前掲区分外-その他のもの-詰所建物</t>
    <phoneticPr fontId="2"/>
  </si>
  <si>
    <t>鉄骨鉄筋コンクリート造又は鉄筋コンクリート造-事務所建物</t>
    <phoneticPr fontId="2"/>
  </si>
  <si>
    <t>れんが造、石造又はブロック造-事務所建物</t>
    <phoneticPr fontId="2"/>
  </si>
  <si>
    <t>金属造(骨格材の肉厚が4mm超)-事務所建物</t>
    <phoneticPr fontId="2"/>
  </si>
  <si>
    <t>金属造(骨格材の肉厚が3mm超4mm以下)-事務所建物</t>
    <phoneticPr fontId="2"/>
  </si>
  <si>
    <t>金属造(骨格材の肉厚が3mm以下)-事務所建物</t>
    <phoneticPr fontId="2"/>
  </si>
  <si>
    <t>木造又は合成樹脂造-事務所建物</t>
    <phoneticPr fontId="2"/>
  </si>
  <si>
    <t>木骨モルタル造-事務所建物</t>
    <phoneticPr fontId="2"/>
  </si>
  <si>
    <t>簡易建物(木製主要柱が10cm角以下で土居、杉皮ぶき等)-事務所建物</t>
    <phoneticPr fontId="2"/>
  </si>
  <si>
    <t>簡易建物(掘立造のもの及び仮設のもの)-事務所建物</t>
    <phoneticPr fontId="2"/>
  </si>
  <si>
    <t>電気設備(照明設備を含む)-蓄電池電源設備-事務所建物</t>
    <phoneticPr fontId="2"/>
  </si>
  <si>
    <t>電気設備(照明設備を含む)-その他のもの-事務所建物</t>
    <phoneticPr fontId="2"/>
  </si>
  <si>
    <t>給排水又は衛生設備及びガス設備-事務所建物</t>
    <phoneticPr fontId="2"/>
  </si>
  <si>
    <t>冷暖房・通風・ボイラー設備-22kw以下-事務所建物</t>
    <phoneticPr fontId="2"/>
  </si>
  <si>
    <t>冷暖房・通風・ボイラー設備-その他のもの-事務所建物</t>
    <phoneticPr fontId="2"/>
  </si>
  <si>
    <t>昇降機設備-エレベーター-事務所建物</t>
    <phoneticPr fontId="2"/>
  </si>
  <si>
    <t>昇降機設備-エスカレーター-事務所建物</t>
    <phoneticPr fontId="2"/>
  </si>
  <si>
    <t>消火・排煙・災害報知設備及び格納式避難設備-事務所建物</t>
    <phoneticPr fontId="2"/>
  </si>
  <si>
    <t>エヤーカーテン又はドアー自動開閉設備-事務所建物</t>
    <phoneticPr fontId="2"/>
  </si>
  <si>
    <t>アーケード又は日よけ設備-金属製-事務所建物</t>
    <phoneticPr fontId="2"/>
  </si>
  <si>
    <t>アーケード又は日よけ設備-その他のもの-事務所建物</t>
    <phoneticPr fontId="2"/>
  </si>
  <si>
    <t>店用簡易設備-事務所建物</t>
    <phoneticPr fontId="2"/>
  </si>
  <si>
    <t>可動簡易装備-簡易なもの-事務所建物</t>
    <phoneticPr fontId="2"/>
  </si>
  <si>
    <t>可動簡易装備-その他のもの-事務所建物</t>
    <phoneticPr fontId="2"/>
  </si>
  <si>
    <t>前掲以外・前掲区分外-主として金属製のもの-事務所建物</t>
    <phoneticPr fontId="2"/>
  </si>
  <si>
    <t>前掲以外・前掲区分外-その他のもの-事務所建物</t>
    <phoneticPr fontId="2"/>
  </si>
  <si>
    <t>鉄骨鉄筋コンクリート造又は鉄筋コンクリート造-社宅・寮建物</t>
    <phoneticPr fontId="2"/>
  </si>
  <si>
    <t>れんが造、石造又はブロック造-社宅・寮建物</t>
    <phoneticPr fontId="2"/>
  </si>
  <si>
    <t>金属造(骨格材の肉厚が4mm超)-社宅・寮建物</t>
    <phoneticPr fontId="2"/>
  </si>
  <si>
    <t>金属造(骨格材の肉厚が3mm超4mm以下)-社宅・寮建物</t>
    <phoneticPr fontId="2"/>
  </si>
  <si>
    <t>金属造(骨格材の肉厚が3mm以下)-社宅・寮建物</t>
    <phoneticPr fontId="2"/>
  </si>
  <si>
    <t>木造又は合成樹脂造-社宅・寮建物</t>
    <phoneticPr fontId="2"/>
  </si>
  <si>
    <t>木骨モルタル造-社宅・寮建物</t>
    <phoneticPr fontId="2"/>
  </si>
  <si>
    <t>簡易建物(木製主要柱が10cm角以下で土居、杉皮ぶき等)-社宅・寮建物</t>
    <phoneticPr fontId="2"/>
  </si>
  <si>
    <t>簡易建物(掘立造のもの及び仮設のもの)-社宅・寮建物</t>
    <phoneticPr fontId="2"/>
  </si>
  <si>
    <t>電気設備(照明設備を含む)-蓄電池電源設備-社宅・寮建物</t>
    <phoneticPr fontId="2"/>
  </si>
  <si>
    <t>電気設備(照明設備を含む)-その他のもの-社宅・寮建物</t>
    <phoneticPr fontId="2"/>
  </si>
  <si>
    <t>給排水又は衛生設備及びガス設備-社宅・寮建物</t>
    <phoneticPr fontId="2"/>
  </si>
  <si>
    <t>冷暖房・通風・ボイラー設備-22kw以下-社宅・寮建物</t>
    <phoneticPr fontId="2"/>
  </si>
  <si>
    <t>冷暖房・通風・ボイラー設備-その他のもの-社宅・寮建物</t>
    <phoneticPr fontId="2"/>
  </si>
  <si>
    <t>昇降機設備-エレベーター-社宅・寮建物</t>
    <phoneticPr fontId="2"/>
  </si>
  <si>
    <t>昇降機設備-エスカレーター-社宅・寮建物</t>
    <phoneticPr fontId="2"/>
  </si>
  <si>
    <t>消火・排煙・災害報知設備及び格納式避難設備-社宅・寮建物</t>
    <phoneticPr fontId="2"/>
  </si>
  <si>
    <t>エヤーカーテン又はドアー自動開閉設備-社宅・寮建物</t>
    <phoneticPr fontId="2"/>
  </si>
  <si>
    <t>アーケード又は日よけ設備-金属製-社宅・寮建物</t>
    <phoneticPr fontId="2"/>
  </si>
  <si>
    <t>アーケード又は日よけ設備-その他のもの-社宅・寮建物</t>
    <phoneticPr fontId="2"/>
  </si>
  <si>
    <t>店用簡易設備-社宅・寮建物</t>
    <phoneticPr fontId="2"/>
  </si>
  <si>
    <t>可動簡易装備-簡易なもの-社宅・寮建物</t>
    <phoneticPr fontId="2"/>
  </si>
  <si>
    <t>可動簡易装備-その他のもの-社宅・寮建物</t>
    <phoneticPr fontId="2"/>
  </si>
  <si>
    <t>前掲以外・前掲区分外-主として金属製のもの-社宅・寮建物</t>
    <phoneticPr fontId="2"/>
  </si>
  <si>
    <t>前掲以外・前掲区分外-その他のもの-社宅・寮建物</t>
    <phoneticPr fontId="2"/>
  </si>
  <si>
    <t>雑設備-駅前広場舗装等</t>
    <rPh sb="4" eb="6">
      <t>エキマエ</t>
    </rPh>
    <rPh sb="6" eb="8">
      <t>ヒロバ</t>
    </rPh>
    <rPh sb="8" eb="10">
      <t>ホソウ</t>
    </rPh>
    <rPh sb="10" eb="11">
      <t>トウ</t>
    </rPh>
    <phoneticPr fontId="2"/>
  </si>
  <si>
    <t>雑設備-その他</t>
    <rPh sb="6" eb="7">
      <t>タ</t>
    </rPh>
    <phoneticPr fontId="2"/>
  </si>
  <si>
    <t>舗装道路・舗装路面-コンクリート敷、ブロック敷、煉瓦敷、石敷-車庫工場構築物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</si>
  <si>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</si>
  <si>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</si>
  <si>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</si>
  <si>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</si>
  <si>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コン造・コンクリートブロック造-へい-車庫工場構築物</t>
    <rPh sb="2" eb="3">
      <t>ゾウ</t>
    </rPh>
    <rPh sb="14" eb="15">
      <t>ゾウ</t>
    </rPh>
    <phoneticPr fontId="2"/>
  </si>
  <si>
    <t>コン造・コンクリートブロック造-その他-車庫工場構築物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</si>
  <si>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金属造-つり橋、煙突、焼却炉、打ち込み井戸、へい、街路及びガードレール-車庫工場構築物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</si>
  <si>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金属造-その他-車庫工場構築物</t>
    <rPh sb="0" eb="2">
      <t>キンゾク</t>
    </rPh>
    <rPh sb="2" eb="3">
      <t>ゾウ</t>
    </rPh>
    <rPh sb="6" eb="7">
      <t>タ</t>
    </rPh>
    <phoneticPr fontId="2"/>
  </si>
  <si>
    <t>木造-へい-車庫工場構築物</t>
    <rPh sb="0" eb="2">
      <t>モクゾウ</t>
    </rPh>
    <phoneticPr fontId="2"/>
  </si>
  <si>
    <t>木造-その他-車庫工場構築物</t>
    <rPh sb="0" eb="2">
      <t>モクゾウ</t>
    </rPh>
    <rPh sb="5" eb="6">
      <t>タ</t>
    </rPh>
    <phoneticPr fontId="2"/>
  </si>
  <si>
    <t>舗装道路・舗装路面-コンクリート敷、ブロック敷、煉瓦敷、石敷-変電所構築物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</si>
  <si>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</si>
  <si>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</si>
  <si>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</si>
  <si>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</si>
  <si>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コン造・コンクリートブロック造-へい-変電所構築物</t>
    <rPh sb="2" eb="3">
      <t>ゾウ</t>
    </rPh>
    <rPh sb="14" eb="15">
      <t>ゾウ</t>
    </rPh>
    <phoneticPr fontId="2"/>
  </si>
  <si>
    <t>コン造・コンクリートブロック造-その他-変電所構築物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</si>
  <si>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金属造-つり橋、煙突、焼却炉、打ち込み井戸、へい、街路及びガードレール-変電所構築物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</si>
  <si>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金属造-その他-変電所構築物</t>
    <rPh sb="0" eb="2">
      <t>キンゾク</t>
    </rPh>
    <rPh sb="2" eb="3">
      <t>ゾウ</t>
    </rPh>
    <rPh sb="6" eb="7">
      <t>タ</t>
    </rPh>
    <phoneticPr fontId="2"/>
  </si>
  <si>
    <t>木造-へい-変電所構築物</t>
    <rPh sb="0" eb="2">
      <t>モクゾウ</t>
    </rPh>
    <phoneticPr fontId="2"/>
  </si>
  <si>
    <t>木造-その他-変電所構築物</t>
    <rPh sb="0" eb="2">
      <t>モクゾウ</t>
    </rPh>
    <rPh sb="5" eb="6">
      <t>タ</t>
    </rPh>
    <phoneticPr fontId="2"/>
  </si>
  <si>
    <t>舗装道路・舗装路面-コンクリート敷、ブロック敷、煉瓦敷、石敷-雑構築物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</si>
  <si>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</si>
  <si>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舗装道路・舗装路面-ビチューマルチ敷のもの-雑構築物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</si>
  <si>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</si>
  <si>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</si>
  <si>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コン造・コンクリートブロック造-へい-雑構築物</t>
    <rPh sb="2" eb="3">
      <t>ゾウ</t>
    </rPh>
    <rPh sb="14" eb="15">
      <t>ゾウ</t>
    </rPh>
    <phoneticPr fontId="2"/>
  </si>
  <si>
    <t>コン造・コンクリートブロック造-その他-雑構築物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</si>
  <si>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金属造-つり橋、煙突、焼却炉、打ち込み井戸、へい、街路及びガードレール-雑構築物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</si>
  <si>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金属造-その他-雑構築物</t>
    <rPh sb="0" eb="2">
      <t>キンゾク</t>
    </rPh>
    <rPh sb="2" eb="3">
      <t>ゾウ</t>
    </rPh>
    <rPh sb="6" eb="7">
      <t>タ</t>
    </rPh>
    <phoneticPr fontId="2"/>
  </si>
  <si>
    <t>木造-へい-雑構築物</t>
    <rPh sb="0" eb="2">
      <t>モクゾウ</t>
    </rPh>
    <phoneticPr fontId="2"/>
  </si>
  <si>
    <t>木造-その他-雑構築物</t>
    <rPh sb="0" eb="2">
      <t>モクゾウ</t>
    </rPh>
    <rPh sb="5" eb="6">
      <t>タ</t>
    </rPh>
    <phoneticPr fontId="2"/>
  </si>
  <si>
    <t>－</t>
    <phoneticPr fontId="2"/>
  </si>
  <si>
    <t>－</t>
    <phoneticPr fontId="2"/>
  </si>
  <si>
    <t>部分撤去工事　工事価格　計</t>
    <rPh sb="0" eb="2">
      <t>ブブン</t>
    </rPh>
    <rPh sb="2" eb="4">
      <t>テッキョ</t>
    </rPh>
    <rPh sb="4" eb="6">
      <t>コウジ</t>
    </rPh>
    <rPh sb="7" eb="9">
      <t>コウジ</t>
    </rPh>
    <rPh sb="9" eb="11">
      <t>カカク</t>
    </rPh>
    <rPh sb="12" eb="13">
      <t>ケイ</t>
    </rPh>
    <phoneticPr fontId="2"/>
  </si>
  <si>
    <t>費用計上（部分撤去工事を除く）　工事価格　計</t>
    <rPh sb="0" eb="2">
      <t>ヒヨウ</t>
    </rPh>
    <rPh sb="2" eb="4">
      <t>ケイジョウ</t>
    </rPh>
    <rPh sb="5" eb="7">
      <t>ブブン</t>
    </rPh>
    <rPh sb="7" eb="9">
      <t>テッキョ</t>
    </rPh>
    <rPh sb="9" eb="11">
      <t>コウジ</t>
    </rPh>
    <rPh sb="12" eb="13">
      <t>ノゾ</t>
    </rPh>
    <rPh sb="16" eb="18">
      <t>コウジ</t>
    </rPh>
    <rPh sb="18" eb="20">
      <t>カカク</t>
    </rPh>
    <rPh sb="21" eb="22">
      <t>ケイ</t>
    </rPh>
    <phoneticPr fontId="2"/>
  </si>
  <si>
    <t>工事価格合計</t>
    <rPh sb="0" eb="2">
      <t>コウジ</t>
    </rPh>
    <rPh sb="2" eb="4">
      <t>カカク</t>
    </rPh>
    <rPh sb="4" eb="6">
      <t>ゴウケイ</t>
    </rPh>
    <phoneticPr fontId="2"/>
  </si>
  <si>
    <t>鉄有固-運送施設 土地-線路及び停車場用地</t>
  </si>
  <si>
    <t>鉄有固-運送施設 土地-変電所用地</t>
  </si>
  <si>
    <t>鉄有固-運送施設 土地-車庫及び工場用地</t>
  </si>
  <si>
    <t>鉄有固-運送施設 土地-倉庫用地</t>
  </si>
  <si>
    <t>鉄有固-運送施設 土地-事務所用地</t>
  </si>
  <si>
    <t>鉄有固-運送施設 土地-社宅及び寮用地</t>
  </si>
  <si>
    <t>鉄有固-運送施設 土地-雑用地</t>
  </si>
  <si>
    <t>鉄有固-運送施設 建物-鉄骨鉄筋コンクリート造又は鉄筋コンクリート造-停車場建物</t>
  </si>
  <si>
    <t>鉄有固-運送施設 建物-れんが造、石造又はブロック造-停車場建物</t>
  </si>
  <si>
    <t>鉄有固-運送施設 建物-金属造(骨格材の肉厚が4mm超)-停車場建物</t>
  </si>
  <si>
    <t>鉄有固-運送施設 建物-金属造(骨格材の肉厚が3mm超4mm以下)-停車場建物</t>
  </si>
  <si>
    <t>鉄有固-運送施設 建物-金属造(骨格材の肉厚が3mm以下)-停車場建物</t>
  </si>
  <si>
    <t>鉄有固-運送施設 建物-木造又は合成樹脂造-停車場建物</t>
  </si>
  <si>
    <t>鉄有固-運送施設 建物-木骨モルタル造-停車場建物</t>
  </si>
  <si>
    <t>鉄有固-運送施設 建物-簡易建物(木製主要柱が10cm角以下で土居、杉皮ぶき等)-停車場建物</t>
  </si>
  <si>
    <t>鉄有固-運送施設 建物-簡易建物(掘立造のもの及び仮設のもの)-停車場建物</t>
  </si>
  <si>
    <t>鉄有固-運送施設 建物付属設備-電気設備(照明設備を含む)-蓄電池電源設備-停車場建物</t>
  </si>
  <si>
    <t>鉄有固-運送施設 建物付属設備-電気設備(照明設備を含む)-その他のもの-停車場建物</t>
  </si>
  <si>
    <t>鉄有固-運送施設 建物付属設備-給排水又は衛生設備及びガス設備-停車場建物</t>
  </si>
  <si>
    <t>鉄有固-運送施設 建物付属設備-冷暖房・通風・ボイラー設備-22kw以下-停車場建物</t>
  </si>
  <si>
    <t>鉄有固-運送施設 建物付属設備-冷暖房・通風・ボイラー設備-その他のもの-停車場建物</t>
  </si>
  <si>
    <t>鉄有固-運送施設 建物付属設備-昇降機設備-エレベーター-停車場建物</t>
  </si>
  <si>
    <t>鉄有固-運送施設 建物付属設備-昇降機設備-エスカレーター-停車場建物</t>
  </si>
  <si>
    <t>鉄有固-運送施設 建物付属設備-消火・排煙・災害報知設備及び格納式避難設備-停車場建物</t>
  </si>
  <si>
    <t>鉄有固-運送施設 建物付属設備-エヤーカーテン又はドアー自動開閉設備-停車場建物</t>
  </si>
  <si>
    <t>鉄有固-運送施設 建物付属設備-アーケード又は日よけ設備-金属製-停車場建物</t>
  </si>
  <si>
    <t>鉄有固-運送施設 建物付属設備-アーケード又は日よけ設備-その他のもの-停車場建物</t>
  </si>
  <si>
    <t>鉄有固-運送施設 建物付属設備-店用簡易設備-停車場建物</t>
  </si>
  <si>
    <t>鉄有固-運送施設 建物付属設備-可動簡易装備-簡易なもの-停車場建物</t>
  </si>
  <si>
    <t>鉄有固-運送施設 建物付属設備-可動簡易装備-その他のもの-停車場建物</t>
  </si>
  <si>
    <t>鉄有固-運送施設 建物付属設備-前掲以外・前掲区分外-主として金属製のもの-停車場建物</t>
  </si>
  <si>
    <t>鉄有固-運送施設 建物付属設備-前掲以外・前掲区分外-その他のもの-停車場建物</t>
  </si>
  <si>
    <t>鉄有固-運送施設 建物-鉄骨鉄筋コンクリート造又は鉄筋コンクリート造-変電所建物</t>
  </si>
  <si>
    <t>鉄有固-運送施設 建物-れんが造、石造又はブロック造-変電所建物</t>
  </si>
  <si>
    <t>鉄有固-運送施設 建物-金属造(骨格材の肉厚が4mm超)-変電所建物</t>
  </si>
  <si>
    <t>鉄有固-運送施設 建物-金属造(骨格材の肉厚が3mm超4mm以下)-変電所建物</t>
  </si>
  <si>
    <t>鉄有固-運送施設 建物-金属造(骨格材の肉厚が3mm以下)-変電所建物</t>
  </si>
  <si>
    <t>鉄有固-運送施設 建物-木造又は合成樹脂造-変電所建物</t>
  </si>
  <si>
    <t>鉄有固-運送施設 建物-木骨モルタル造-変電所建物</t>
  </si>
  <si>
    <t>鉄有固-運送施設 建物-簡易建物(木製主要柱が10cm角以下で土居、杉皮ぶき等)-変電所建物</t>
  </si>
  <si>
    <t>鉄有固-運送施設 建物-簡易建物(掘立造のもの及び仮設のもの)-変電所建物</t>
  </si>
  <si>
    <t>鉄有固-運送施設 建物付属設備-電気設備(照明設備を含む)-蓄電池電源設備-変電所建物</t>
  </si>
  <si>
    <t>鉄有固-運送施設 建物付属設備-電気設備(照明設備を含む)-その他のもの-変電所建物</t>
  </si>
  <si>
    <t>鉄有固-運送施設 建物付属設備-給排水又は衛生設備及びガス設備-変電所建物</t>
  </si>
  <si>
    <t>鉄有固-運送施設 建物付属設備-冷暖房・通風・ボイラー設備-22kw以下-変電所建物</t>
  </si>
  <si>
    <t>鉄有固-運送施設 建物付属設備-冷暖房・通風・ボイラー設備-その他のもの-変電所建物</t>
  </si>
  <si>
    <t>鉄有固-運送施設 建物付属設備-昇降機設備-エレベーター-変電所建物</t>
  </si>
  <si>
    <t>鉄有固-運送施設 建物付属設備-昇降機設備-エスカレーター-変電所建物</t>
  </si>
  <si>
    <t>鉄有固-運送施設 建物付属設備-消火・排煙・災害報知設備及び格納式避難設備-変電所建物</t>
  </si>
  <si>
    <t>鉄有固-運送施設 建物付属設備-エヤーカーテン又はドアー自動開閉設備-変電所建物</t>
  </si>
  <si>
    <t>鉄有固-運送施設 建物付属設備-アーケード又は日よけ設備-金属製-変電所建物</t>
  </si>
  <si>
    <t>鉄有固-運送施設 建物付属設備-アーケード又は日よけ設備-その他のもの-変電所建物</t>
  </si>
  <si>
    <t>鉄有固-運送施設 建物付属設備-店用簡易設備-変電所建物</t>
  </si>
  <si>
    <t>鉄有固-運送施設 建物付属設備-可動簡易装備-簡易なもの-変電所建物</t>
  </si>
  <si>
    <t>鉄有固-運送施設 建物付属設備-可動簡易装備-その他のもの-変電所建物</t>
  </si>
  <si>
    <t>鉄有固-運送施設 建物付属設備-前掲以外・前掲区分外-主として金属製のもの-変電所建物</t>
  </si>
  <si>
    <t>鉄有固-運送施設 建物付属設備-前掲以外・前掲区分外-その他のもの-変電所建物</t>
  </si>
  <si>
    <t>鉄有固-運送施設 建物-鉄骨鉄筋コンクリート造又は鉄筋コンクリート造-車庫・工場</t>
  </si>
  <si>
    <t>鉄有固-運送施設 建物-れんが造、石造又はブロック造-車庫・工場</t>
  </si>
  <si>
    <t>鉄有固-運送施設 建物-金属造(骨格材の肉厚が4mm超)-車庫・工場</t>
  </si>
  <si>
    <t>鉄有固-運送施設 建物-金属造(骨格材の肉厚が3mm超4mm以下)-車庫・工場</t>
  </si>
  <si>
    <t>鉄有固-運送施設 建物-金属造(骨格材の肉厚が3mm以下)-車庫・工場</t>
  </si>
  <si>
    <t>鉄有固-運送施設 建物-木造又は合成樹脂造-車庫・工場</t>
  </si>
  <si>
    <t>鉄有固-運送施設 建物-木骨モルタル造-車庫・工場</t>
  </si>
  <si>
    <t>鉄有固-運送施設 建物-簡易建物(木製主要柱が10cm角以下で土居、杉皮ぶき等)-車庫・工場</t>
  </si>
  <si>
    <t>鉄有固-運送施設 建物-簡易建物(掘立造のもの及び仮設のもの)-車庫・工場</t>
  </si>
  <si>
    <t>鉄有固-運送施設 建物付属設備-電気設備(照明設備を含む)-蓄電池電源設備-車庫・工場</t>
  </si>
  <si>
    <t>鉄有固-運送施設 建物付属設備-電気設備(照明設備を含む)-その他のもの-車庫・工場</t>
  </si>
  <si>
    <t>鉄有固-運送施設 建物付属設備-給排水又は衛生設備及びガス設備-車庫・工場</t>
  </si>
  <si>
    <t>鉄有固-運送施設 建物付属設備-冷暖房・通風・ボイラー設備-22kw以下-車庫・工場</t>
  </si>
  <si>
    <t>鉄有固-運送施設 建物付属設備-冷暖房・通風・ボイラー設備-その他のもの-車庫・工場</t>
  </si>
  <si>
    <t>鉄有固-運送施設 建物付属設備-昇降機設備-エレベーター-車庫・工場</t>
  </si>
  <si>
    <t>鉄有固-運送施設 建物付属設備-昇降機設備-エスカレーター-車庫・工場</t>
  </si>
  <si>
    <t>鉄有固-運送施設 建物付属設備-消火・排煙・災害報知設備及び格納式避難設備-車庫・工場</t>
  </si>
  <si>
    <t>鉄有固-運送施設 建物付属設備-エヤーカーテン又はドアー自動開閉設備-車庫・工場</t>
  </si>
  <si>
    <t>鉄有固-運送施設 建物付属設備-アーケード又は日よけ設備-金属製-車庫・工場</t>
  </si>
  <si>
    <t>鉄有固-運送施設 建物付属設備-アーケード又は日よけ設備-その他のもの-車庫・工場</t>
  </si>
  <si>
    <t>鉄有固-運送施設 建物付属設備-店用簡易設備-車庫・工場</t>
  </si>
  <si>
    <t>鉄有固-運送施設 建物付属設備-可動簡易装備-簡易なもの-車庫・工場</t>
  </si>
  <si>
    <t>鉄有固-運送施設 建物付属設備-可動簡易装備-その他のもの-車庫・工場</t>
  </si>
  <si>
    <t>鉄有固-運送施設 建物付属設備-前掲以外・前掲区分外-主として金属製のもの-車庫・工場</t>
  </si>
  <si>
    <t>鉄有固-運送施設 建物付属設備-前掲以外・前掲区分外-その他のもの-車庫・工場</t>
  </si>
  <si>
    <t>鉄有固-運送施設 建物-鉄骨鉄筋コンクリート造又は鉄筋コンクリート造-倉庫建物</t>
  </si>
  <si>
    <t>鉄有固-運送施設 建物-れんが造、石造又はブロック造-倉庫建物</t>
  </si>
  <si>
    <t>鉄有固-運送施設 建物-金属造(骨格材の肉厚が4mm超)-倉庫建物</t>
  </si>
  <si>
    <t>鉄有固-運送施設 建物-金属造(骨格材の肉厚が3mm超4mm以下)-倉庫建物</t>
  </si>
  <si>
    <t>鉄有固-運送施設 建物-金属造(骨格材の肉厚が3mm以下)-倉庫建物</t>
  </si>
  <si>
    <t>鉄有固-運送施設 建物-木造又は合成樹脂造-倉庫建物</t>
  </si>
  <si>
    <t>鉄有固-運送施設 建物-木骨モルタル造-倉庫建物</t>
  </si>
  <si>
    <t>鉄有固-運送施設 建物-簡易建物(木製主要柱が10cm角以下で土居、杉皮ぶき等)-倉庫建物</t>
  </si>
  <si>
    <t>鉄有固-運送施設 建物-簡易建物(掘立造のもの及び仮設のもの)-倉庫建物</t>
  </si>
  <si>
    <t>鉄有固-運送施設 建物付属設備-電気設備(照明設備を含む)-蓄電池電源設備-倉庫建物</t>
  </si>
  <si>
    <t>鉄有固-運送施設 建物付属設備-電気設備(照明設備を含む)-その他のもの-倉庫建物</t>
  </si>
  <si>
    <t>鉄有固-運送施設 建物付属設備-給排水又は衛生設備及びガス設備-倉庫建物</t>
  </si>
  <si>
    <t>鉄有固-運送施設 建物付属設備-冷暖房・通風・ボイラー設備-22kw以下-倉庫建物</t>
  </si>
  <si>
    <t>鉄有固-運送施設 建物付属設備-冷暖房・通風・ボイラー設備-その他のもの-倉庫建物</t>
  </si>
  <si>
    <t>鉄有固-運送施設 建物付属設備-昇降機設備-エレベーター-倉庫建物</t>
  </si>
  <si>
    <t>鉄有固-運送施設 建物付属設備-昇降機設備-エスカレーター-倉庫建物</t>
  </si>
  <si>
    <t>鉄有固-運送施設 建物付属設備-消火・排煙・災害報知設備及び格納式避難設備-倉庫建物</t>
  </si>
  <si>
    <t>鉄有固-運送施設 建物付属設備-エヤーカーテン又はドアー自動開閉設備-倉庫建物</t>
  </si>
  <si>
    <t>鉄有固-運送施設 建物付属設備-アーケード又は日よけ設備-金属製-倉庫建物</t>
  </si>
  <si>
    <t>鉄有固-運送施設 建物付属設備-アーケード又は日よけ設備-その他のもの-倉庫建物</t>
  </si>
  <si>
    <t>鉄有固-運送施設 建物付属設備-店用簡易設備-倉庫建物</t>
  </si>
  <si>
    <t>鉄有固-運送施設 建物付属設備-可動簡易装備-簡易なもの-倉庫建物</t>
  </si>
  <si>
    <t>鉄有固-運送施設 建物付属設備-可動簡易装備-その他のもの-倉庫建物</t>
  </si>
  <si>
    <t>鉄有固-運送施設 建物付属設備-前掲以外・前掲区分外-主として金属製のもの-倉庫建物</t>
  </si>
  <si>
    <t>鉄有固-運送施設 建物付属設備-前掲以外・前掲区分外-その他のもの-倉庫建物</t>
  </si>
  <si>
    <t>鉄有固-運送施設 建物-鉄骨鉄筋コンクリート造又は鉄筋コンクリート造-詰所建物</t>
  </si>
  <si>
    <t>鉄有固-運送施設 建物-れんが造、石造又はブロック造-詰所建物</t>
  </si>
  <si>
    <t>鉄有固-運送施設 建物-金属造(骨格材の肉厚が4mm超)-詰所建物</t>
  </si>
  <si>
    <t>鉄有固-運送施設 建物-金属造(骨格材の肉厚が3mm超4mm以下)-詰所建物</t>
  </si>
  <si>
    <t>鉄有固-運送施設 建物-金属造(骨格材の肉厚が3mm以下)-詰所建物</t>
  </si>
  <si>
    <t>鉄有固-運送施設 建物-木造又は合成樹脂造-詰所建物</t>
  </si>
  <si>
    <t>鉄有固-運送施設 建物-木骨モルタル造-詰所建物</t>
  </si>
  <si>
    <t>鉄有固-運送施設 建物-簡易建物(木製主要柱が10cm角以下で土居、杉皮ぶき等)-詰所建物</t>
  </si>
  <si>
    <t>鉄有固-運送施設 建物-簡易建物(掘立造のもの及び仮設のもの)-詰所建物</t>
  </si>
  <si>
    <t>鉄有固-運送施設 建物付属設備-電気設備(照明設備を含む)-蓄電池電源設備-詰所建物</t>
  </si>
  <si>
    <t>鉄有固-運送施設 建物付属設備-電気設備(照明設備を含む)-その他のもの-詰所建物</t>
  </si>
  <si>
    <t>鉄有固-運送施設 建物付属設備-給排水又は衛生設備及びガス設備-詰所建物</t>
  </si>
  <si>
    <t>鉄有固-運送施設 建物付属設備-冷暖房・通風・ボイラー設備-22kw以下-詰所建物</t>
  </si>
  <si>
    <t>鉄有固-運送施設 建物付属設備-冷暖房・通風・ボイラー設備-その他のもの-詰所建物</t>
  </si>
  <si>
    <t>鉄有固-運送施設 建物付属設備-昇降機設備-エレベーター-詰所建物</t>
  </si>
  <si>
    <t>鉄有固-運送施設 建物付属設備-昇降機設備-エスカレーター-詰所建物</t>
  </si>
  <si>
    <t>鉄有固-運送施設 建物付属設備-消火・排煙・災害報知設備及び格納式避難設備-詰所建物</t>
  </si>
  <si>
    <t>鉄有固-運送施設 建物付属設備-エヤーカーテン又はドアー自動開閉設備-詰所建物</t>
  </si>
  <si>
    <t>鉄有固-運送施設 建物付属設備-アーケード又は日よけ設備-金属製-詰所建物</t>
  </si>
  <si>
    <t>鉄有固-運送施設 建物付属設備-アーケード又は日よけ設備-その他のもの-詰所建物</t>
  </si>
  <si>
    <t>鉄有固-運送施設 建物付属設備-店用簡易設備-詰所建物</t>
  </si>
  <si>
    <t>鉄有固-運送施設 建物付属設備-可動簡易装備-簡易なもの-詰所建物</t>
  </si>
  <si>
    <t>鉄有固-運送施設 建物付属設備-可動簡易装備-その他のもの-詰所建物</t>
  </si>
  <si>
    <t>鉄有固-運送施設 建物付属設備-前掲以外・前掲区分外-主として金属製のもの-詰所建物</t>
  </si>
  <si>
    <t>鉄有固-運送施設 建物付属設備-前掲以外・前掲区分外-その他のもの-詰所建物</t>
  </si>
  <si>
    <t>鉄有固-運送施設 建物-鉄骨鉄筋コンクリート造又は鉄筋コンクリート造-事務所建物</t>
  </si>
  <si>
    <t>鉄有固-運送施設 建物-れんが造、石造又はブロック造-事務所建物</t>
  </si>
  <si>
    <t>鉄有固-運送施設 建物-金属造(骨格材の肉厚が4mm超)-事務所建物</t>
  </si>
  <si>
    <t>鉄有固-運送施設 建物-金属造(骨格材の肉厚が3mm超4mm以下)-事務所建物</t>
  </si>
  <si>
    <t>鉄有固-運送施設 建物-金属造(骨格材の肉厚が3mm以下)-事務所建物</t>
  </si>
  <si>
    <t>鉄有固-運送施設 建物-木造又は合成樹脂造-事務所建物</t>
  </si>
  <si>
    <t>鉄有固-運送施設 建物-木骨モルタル造-事務所建物</t>
  </si>
  <si>
    <t>鉄有固-運送施設 建物-簡易建物(木製主要柱が10cm角以下で土居、杉皮ぶき等)-事務所建物</t>
  </si>
  <si>
    <t>鉄有固-運送施設 建物-簡易建物(掘立造のもの及び仮設のもの)-事務所建物</t>
  </si>
  <si>
    <t>鉄有固-運送施設 建物付属設備-電気設備(照明設備を含む)-蓄電池電源設備-事務所建物</t>
  </si>
  <si>
    <t>鉄有固-運送施設 建物付属設備-電気設備(照明設備を含む)-その他のもの-事務所建物</t>
  </si>
  <si>
    <t>鉄有固-運送施設 建物付属設備-給排水又は衛生設備及びガス設備-事務所建物</t>
  </si>
  <si>
    <t>鉄有固-運送施設 建物付属設備-冷暖房・通風・ボイラー設備-22kw以下-事務所建物</t>
  </si>
  <si>
    <t>鉄有固-運送施設 建物付属設備-冷暖房・通風・ボイラー設備-その他のもの-事務所建物</t>
  </si>
  <si>
    <t>鉄有固-運送施設 建物付属設備-昇降機設備-エレベーター-事務所建物</t>
  </si>
  <si>
    <t>鉄有固-運送施設 建物付属設備-昇降機設備-エスカレーター-事務所建物</t>
  </si>
  <si>
    <t>鉄有固-運送施設 建物付属設備-消火・排煙・災害報知設備及び格納式避難設備-事務所建物</t>
  </si>
  <si>
    <t>鉄有固-運送施設 建物付属設備-エヤーカーテン又はドアー自動開閉設備-事務所建物</t>
  </si>
  <si>
    <t>鉄有固-運送施設 建物付属設備-アーケード又は日よけ設備-金属製-事務所建物</t>
  </si>
  <si>
    <t>鉄有固-運送施設 建物付属設備-アーケード又は日よけ設備-その他のもの-事務所建物</t>
  </si>
  <si>
    <t>鉄有固-運送施設 建物付属設備-店用簡易設備-事務所建物</t>
  </si>
  <si>
    <t>鉄有固-運送施設 建物付属設備-可動簡易装備-簡易なもの-事務所建物</t>
  </si>
  <si>
    <t>鉄有固-運送施設 建物付属設備-可動簡易装備-その他のもの-事務所建物</t>
  </si>
  <si>
    <t>鉄有固-運送施設 建物付属設備-前掲以外・前掲区分外-主として金属製のもの-事務所建物</t>
  </si>
  <si>
    <t>鉄有固-運送施設 建物付属設備-前掲以外・前掲区分外-その他のもの-事務所建物</t>
  </si>
  <si>
    <t>鉄有固-運送施設 建物-鉄骨鉄筋コンクリート造又は鉄筋コンクリート造-社宅・寮建物</t>
  </si>
  <si>
    <t>鉄有固-運送施設 建物-れんが造、石造又はブロック造-社宅・寮建物</t>
  </si>
  <si>
    <t>鉄有固-運送施設 建物-金属造(骨格材の肉厚が4mm超)-社宅・寮建物</t>
  </si>
  <si>
    <t>鉄有固-運送施設 建物-金属造(骨格材の肉厚が3mm超4mm以下)-社宅・寮建物</t>
  </si>
  <si>
    <t>鉄有固-運送施設 建物-金属造(骨格材の肉厚が3mm以下)-社宅・寮建物</t>
  </si>
  <si>
    <t>鉄有固-運送施設 建物-木造又は合成樹脂造-社宅・寮建物</t>
  </si>
  <si>
    <t>鉄有固-運送施設 建物-木骨モルタル造-社宅・寮建物</t>
  </si>
  <si>
    <t>鉄有固-運送施設 建物-簡易建物(木製主要柱が10cm角以下で土居、杉皮ぶき等)-社宅・寮建物</t>
  </si>
  <si>
    <t>鉄有固-運送施設 建物-簡易建物(掘立造のもの及び仮設のもの)-社宅・寮建物</t>
  </si>
  <si>
    <t>鉄有固-運送施設 建物付属設備-電気設備(照明設備を含む)-蓄電池電源設備-社宅・寮建物</t>
  </si>
  <si>
    <t>鉄有固-運送施設 建物付属設備-電気設備(照明設備を含む)-その他のもの-社宅・寮建物</t>
  </si>
  <si>
    <t>鉄有固-運送施設 建物付属設備-給排水又は衛生設備及びガス設備-社宅・寮建物</t>
  </si>
  <si>
    <t>鉄有固-運送施設 建物付属設備-冷暖房・通風・ボイラー設備-22kw以下-社宅・寮建物</t>
  </si>
  <si>
    <t>鉄有固-運送施設 建物付属設備-冷暖房・通風・ボイラー設備-その他のもの-社宅・寮建物</t>
  </si>
  <si>
    <t>鉄有固-運送施設 建物付属設備-昇降機設備-エレベーター-社宅・寮建物</t>
  </si>
  <si>
    <t>鉄有固-運送施設 建物付属設備-昇降機設備-エスカレーター-社宅・寮建物</t>
  </si>
  <si>
    <t>鉄有固-運送施設 建物付属設備-消火・排煙・災害報知設備及び格納式避難設備-社宅・寮建物</t>
  </si>
  <si>
    <t>鉄有固-運送施設 建物付属設備-エヤーカーテン又はドアー自動開閉設備-社宅・寮建物</t>
  </si>
  <si>
    <t>鉄有固-運送施設 建物付属設備-アーケード又は日よけ設備-金属製-社宅・寮建物</t>
  </si>
  <si>
    <t>鉄有固-運送施設 建物付属設備-アーケード又は日よけ設備-その他のもの-社宅・寮建物</t>
  </si>
  <si>
    <t>鉄有固-運送施設 建物付属設備-店用簡易設備-社宅・寮建物</t>
  </si>
  <si>
    <t>鉄有固-運送施設 建物付属設備-可動簡易装備-簡易なもの-社宅・寮建物</t>
  </si>
  <si>
    <t>鉄有固-運送施設 建物付属設備-可動簡易装備-その他のもの-社宅・寮建物</t>
  </si>
  <si>
    <t>鉄有固-運送施設 建物付属設備-前掲以外・前掲区分外-主として金属製のもの-社宅・寮建物</t>
  </si>
  <si>
    <t>鉄有固-運送施設 建物付属設備-前掲以外・前掲区分外-その他のもの-社宅・寮建物</t>
  </si>
  <si>
    <t>鉄有固-運送施設 建物-雑建物-定額50年</t>
  </si>
  <si>
    <t>鉄有固-運送施設 建物-雑建物-定額47年</t>
  </si>
  <si>
    <t>鉄有固-運送施設 建物-雑建物-定額41年</t>
  </si>
  <si>
    <t>鉄有固-運送施設 建物-雑建物-定額39年</t>
  </si>
  <si>
    <t>鉄有固-運送施設 建物-雑建物-定額38年</t>
  </si>
  <si>
    <t>鉄有固-運送施設 建物-雑建物-定額36年</t>
  </si>
  <si>
    <t>鉄有固-運送施設 建物-雑建物-定額34年</t>
  </si>
  <si>
    <t>鉄有固-運送施設 建物-雑建物-定額31年</t>
  </si>
  <si>
    <t>鉄有固-運送施設 建物-雑建物-定額30年</t>
  </si>
  <si>
    <t>鉄有固-運送施設 建物-雑建物-定額29年</t>
  </si>
  <si>
    <t>鉄有固-運送施設 建物-雑建物-定額28年</t>
  </si>
  <si>
    <t>鉄有固-運送施設 建物-雑建物-定額27年</t>
  </si>
  <si>
    <t>鉄有固-運送施設 建物-雑建物-定額26年</t>
  </si>
  <si>
    <t>鉄有固-運送施設 建物-雑建物-定額25年</t>
  </si>
  <si>
    <t>鉄有固-運送施設 建物-雑建物-定額24年</t>
  </si>
  <si>
    <t>鉄有固-運送施設 建物-雑建物-定額22年</t>
  </si>
  <si>
    <t>鉄有固-運送施設 建物-雑建物-定額21年</t>
  </si>
  <si>
    <t>鉄有固-運送施設 建物-雑建物-定額20年</t>
  </si>
  <si>
    <t>鉄有固-運送施設 建物-雑建物-定額19年</t>
  </si>
  <si>
    <t>鉄有固-運送施設 建物-雑建物-定額17年</t>
  </si>
  <si>
    <t>鉄有固-運送施設 建物-雑建物-定額15年</t>
  </si>
  <si>
    <t>鉄有固-運送施設 建物-雑建物-定額14年</t>
  </si>
  <si>
    <t>鉄有固-運送施設 建物-雑建物-定額12年</t>
  </si>
  <si>
    <t>鉄有固-運送施設 建物-雑建物-定額11年</t>
  </si>
  <si>
    <t>鉄有固-運送施設 建物-雑建物-定額10年</t>
  </si>
  <si>
    <t>鉄有固-運送施設 建物-雑建物-定額09年</t>
  </si>
  <si>
    <t>鉄有固-運送施設 建物-雑建物-定額07年</t>
  </si>
  <si>
    <t>鉄有固-運送施設 建物付属設備-電気設備(照明設備を含む)-蓄電池電源設備-雑建物</t>
  </si>
  <si>
    <t>鉄有固-運送施設 建物付属設備-電気設備(照明設備を含む)-その他のもの-雑建物</t>
  </si>
  <si>
    <t>鉄有固-運送施設 建物付属設備-給排水又は衛生設備及びガス設備-雑建物</t>
  </si>
  <si>
    <t>鉄有固-運送施設 建物付属設備-冷暖房・通風・ボイラー設備-22kw以下-雑建物</t>
  </si>
  <si>
    <t>鉄有固-運送施設 建物付属設備-冷暖房・通風・ボイラー設備-その他のもの-雑建物</t>
  </si>
  <si>
    <t>鉄有固-運送施設 建物付属設備-昇降機設備-エレベーター-雑建物</t>
  </si>
  <si>
    <t>鉄有固-運送施設 建物付属設備-昇降機設備-エスカレーター-雑建物</t>
  </si>
  <si>
    <t>鉄有固-運送施設 建物付属設備-消火・排煙・災害報知設備及び格納式避難設備-雑建物</t>
  </si>
  <si>
    <t>鉄有固-運送施設 建物付属設備-エヤーカーテン又はドアー自動開閉設備-雑建物</t>
  </si>
  <si>
    <t>鉄有固-運送施設 建物付属設備-アーケード又は日よけ設備-金属製-雑建物</t>
  </si>
  <si>
    <t>鉄有固-運送施設 建物付属設備-アーケード又は日よけ設備-その他のもの-雑建物</t>
  </si>
  <si>
    <t>鉄有固-運送施設 建物付属設備-店用簡易設備-雑建物</t>
  </si>
  <si>
    <t>鉄有固-運送施設 建物付属設備-可動簡易装備-簡易なもの-雑建物</t>
  </si>
  <si>
    <t>鉄有固-運送施設 建物付属設備-可動簡易装備-その他のもの-雑建物</t>
  </si>
  <si>
    <t>鉄有固-運送施設 建物付属設備-前掲以外・前掲区分外-主として金属製のもの-雑建物</t>
  </si>
  <si>
    <t>鉄有固-運送施設 建物付属設備-前掲以外・前掲区分外-その他のもの-雑建物</t>
  </si>
  <si>
    <t>鉄有固-構築物-軌道-レール及び附属品</t>
  </si>
  <si>
    <t>鉄有固-構築物-軌道-分岐器</t>
  </si>
  <si>
    <t>鉄有固-構築物-軌道-まくら木(木製)</t>
  </si>
  <si>
    <t>鉄有固-構築物-軌道-まくら木(コンクリート製)</t>
  </si>
  <si>
    <t>鉄有固-構築物-軌道-まくら木(金属製)</t>
  </si>
  <si>
    <t>鉄有固-構築物-軌道-道床</t>
  </si>
  <si>
    <t>鉄有固-構築物-軌道-舗装</t>
  </si>
  <si>
    <t>鉄有固-構築物-軌道-諸標及び車止め</t>
  </si>
  <si>
    <t>鉄有固-構築物-土工-線路切取</t>
  </si>
  <si>
    <t>鉄有固-構築物-土工-線路築堤</t>
  </si>
  <si>
    <t>鉄有固-構築物-土工-川道付替</t>
  </si>
  <si>
    <t>鉄有固-構築物-土工-土留め</t>
  </si>
  <si>
    <t>鉄有固-構築物-橋りょう-鉄筋コンクリート造り</t>
  </si>
  <si>
    <t>鉄有固-構築物-橋りょう-鉄骨造り</t>
  </si>
  <si>
    <t>鉄有固-構築物-高架橋-鉄筋コンクリート造り</t>
  </si>
  <si>
    <t>鉄有固-構築物-トンネル-鉄筋コンクリート造り</t>
  </si>
  <si>
    <t>鉄有固-構築物-排水設備</t>
  </si>
  <si>
    <t>鉄有固-構築物-機械保安設備-機械信号機</t>
  </si>
  <si>
    <t>鉄有固-構築物-機械保安設備-諸設備</t>
  </si>
  <si>
    <t>鉄有固-構築物-プラットホーム及び積卸し場</t>
  </si>
  <si>
    <t>鉄有固-構築物-地下道</t>
  </si>
  <si>
    <t>鉄有固-構築物-通信線</t>
  </si>
  <si>
    <t>鉄有固-構築物-電話機</t>
  </si>
  <si>
    <t>鉄有固-構築物-電気時計</t>
  </si>
  <si>
    <t>鉄有固-構築物-拡声装置</t>
  </si>
  <si>
    <t>鉄有固-構築物-通信諸設備</t>
  </si>
  <si>
    <t>鉄有固-構築物-信号線</t>
  </si>
  <si>
    <t>鉄有固-構築物-閉そく装置</t>
  </si>
  <si>
    <t>鉄有固-構築物-電気信号機</t>
  </si>
  <si>
    <t>鉄有固-構築物-連動機</t>
  </si>
  <si>
    <t>鉄有固-構築物-転てつ器</t>
  </si>
  <si>
    <t>鉄有固-構築物-自動列車制御装置</t>
  </si>
  <si>
    <t>鉄有固-構築物-自動列車運転装置</t>
  </si>
  <si>
    <t>鉄有固-構築物-列車集中制御装置</t>
  </si>
  <si>
    <t>鉄有固-構築物-自動列車進路制御装置</t>
  </si>
  <si>
    <t>鉄有固-構築物-電気保安諸設備</t>
  </si>
  <si>
    <t>鉄有固-構築物-送電線</t>
  </si>
  <si>
    <t>鉄有固-構築物-配電線</t>
  </si>
  <si>
    <t>鉄有固-構築物-き電線</t>
  </si>
  <si>
    <t>鉄有固-構築物-電車線</t>
  </si>
  <si>
    <t>鉄有固-構築物-サードレール</t>
  </si>
  <si>
    <t>鉄有固-構築物-帰線ボンド</t>
  </si>
  <si>
    <t>鉄有固-構築物-電灯電力線</t>
  </si>
  <si>
    <t>鉄有固-構築物-電力線諸設備</t>
  </si>
  <si>
    <t>鉄有固-構築物-支持物-鉄柱及びコンクリート柱</t>
  </si>
  <si>
    <t>鉄有固-構築物-支持物-木柱</t>
  </si>
  <si>
    <t>鉄有固-構築物-支持物-その他の支持物(電柱及び腕木を除く)</t>
  </si>
  <si>
    <t>鉄有固-構築物-支持物-その他の支持物(腕木を含む)</t>
  </si>
  <si>
    <t>鉄有固-構築物-車庫工場</t>
  </si>
  <si>
    <t>鉄有固-構築物-変電所</t>
  </si>
  <si>
    <t>鉄有固-構築物-転、遷車台</t>
  </si>
  <si>
    <t>鉄有固-構築物-給油設備</t>
  </si>
  <si>
    <t>鉄有固-構築物-検車洗浄設備</t>
  </si>
  <si>
    <t>鉄有固-構築物-雑構築物</t>
  </si>
  <si>
    <t>鉄有固-車両-電動客車</t>
  </si>
  <si>
    <t>鉄有固-車両-制御客車</t>
  </si>
  <si>
    <t>鉄有固-車両-付随客車</t>
  </si>
  <si>
    <t>鉄有固-車両-特殊車両-線路建設保守用工作車</t>
  </si>
  <si>
    <t>鉄有固-機械装置-変電所機械</t>
  </si>
  <si>
    <t>鉄有固-機械装置-通信機械-交換設備</t>
  </si>
  <si>
    <t>鉄有固-機械装置-通信機械-無線設備</t>
  </si>
  <si>
    <t>鉄有固-機械装置-通信機械-搬送設備</t>
  </si>
  <si>
    <t>鉄有固-機械装置-通信機械-諸設備</t>
  </si>
  <si>
    <t>鉄有固-機械装置-停車場機械-その他の設備(主として金属製のもの)</t>
  </si>
  <si>
    <t>鉄有固-機械装置-停車場機械-その他の設備(その他のもの)</t>
  </si>
  <si>
    <t>鉄有固-機械装置-停車場機械-自動改札装置</t>
  </si>
  <si>
    <t>鉄有固-機械装置-工場機械</t>
  </si>
  <si>
    <t>鉄有固-機械装置-雑機械-その他の設備(主として金属製のもの)</t>
  </si>
  <si>
    <t>鉄有固-機械装置-雑機械-その他の設備(その他のもの)</t>
  </si>
  <si>
    <t>鉄有固-工具器具及び備品-工器備-測定工具・検査工具(電気・電子を利用するものを含む)</t>
  </si>
  <si>
    <t>鉄有固-工具器具及び備品-工器備-治具及び取付工具</t>
  </si>
  <si>
    <t>鉄有固-工具器具及び備品-工器備-ロール-金属圧延用のもの</t>
  </si>
  <si>
    <t>鉄有固-工具器具及び備品-工器備-ロール-なつ染・粉砕・混錬ロールその他のもの</t>
  </si>
  <si>
    <t>鉄有固-工具器具及び備品-工器備-型・鍛圧・打抜工具-ガラス成型用金型及び鋳造用型</t>
  </si>
  <si>
    <t>鉄有固-工具器具及び備品-工器備-型・鍛圧・打抜工具-その他のもの</t>
  </si>
  <si>
    <t>鉄有固-工具器具及び備品-工器備-切削工具</t>
  </si>
  <si>
    <t>鉄有固-工具器具及び備品-工器備-金属製柱及びカッペ</t>
  </si>
  <si>
    <t>鉄有固-工具器具及び備品-工器備-活字・活字に常用される金属-購入活字</t>
  </si>
  <si>
    <t>鉄有固-工具器具及び備品-工器備-活字・活字に常用される金属-自製活字</t>
  </si>
  <si>
    <t>鉄有固-工具器具及び備品-工器備-前掲以外-白金ノズル</t>
  </si>
  <si>
    <t>鉄有固-工具器具及び備品-工器備-前掲以外-その他のもの</t>
  </si>
  <si>
    <t>鉄有固-工具器具及び備品-工器備-前掲区分外-白金ノズル</t>
  </si>
  <si>
    <t>鉄有固-工具器具及び備品-工器備-前掲区分外-その他の主として金属製のもの</t>
  </si>
  <si>
    <t>鉄有固-工具器具及び備品-工器備-前掲区分外-その他のもの</t>
  </si>
  <si>
    <t>鉄有固-工具器具及び備品-工器備-家具・電気・ガス・家庭用品-事務机・いす(金属)</t>
  </si>
  <si>
    <t>鉄有固-工具器具及び備品-工器備-家具・電気・ガス・家庭用品-事務机・いす(その他)</t>
  </si>
  <si>
    <t>鉄有固-工具器具及び備品-工器備-家具・電気・ガス・家庭用品-応接セット(接客業用)</t>
  </si>
  <si>
    <t>鉄有固-工具器具及び備品-工器備-家具・電気・ガス・家庭用品-応接セット(その他)</t>
  </si>
  <si>
    <t>鉄有固-工具器具及び備品-工器備-家具・電気・ガス・家庭用品-ベット</t>
  </si>
  <si>
    <t>鉄有固-工具器具及び備品-工器備-家具・電気・ガス・家庭用品-児童用机及びいす</t>
  </si>
  <si>
    <t>鉄有固-工具器具及び備品-工器備-家具・電気・ガス・家庭用品-陳列棚(冷凍・冷蔵機付)</t>
  </si>
  <si>
    <t>鉄有固-工具器具及び備品-工器備-家具・電気・ガス・家庭用品-陳列棚(その他)</t>
  </si>
  <si>
    <t>鉄有固-工具器具及び備品-工器備-家具・電気・ガス・家庭用品-その他の家具(接客業用)</t>
  </si>
  <si>
    <t>鉄有固-工具器具及び備品-工器備-家具・電気・ガス・家庭用品-その他の家具(金属製)</t>
  </si>
  <si>
    <t>鉄有固-工具器具及び備品-工器備-家具・電気・ガス・家庭用品-その他の家具(その他)</t>
  </si>
  <si>
    <t>鉄有固-工具器具及び備品-工器備-家具・電気・ガス・家庭用品-その他の音響機器</t>
  </si>
  <si>
    <t>鉄有固-工具器具及び備品-工器備-家具・電気・ガス・家庭用品-冷房用又は暖房用機器</t>
  </si>
  <si>
    <t>鉄有固-工具器具及び備品-工器備-家具・電気・ガス・家庭用品-その他電気・ガス機器</t>
  </si>
  <si>
    <t>鉄有固-工具器具及び備品-工器備-家具・電気・ガス・家庭用品-氷冷蔵庫・冷蔵ストッカー</t>
  </si>
  <si>
    <t>鉄有固-工具器具及び備品-工器備-家具・電気・ガス・家庭用品-その他繊維製品</t>
  </si>
  <si>
    <t>鉄有固-工具器具及び備品-工器備-家具・電気・ガス・家庭用品-床用敷物(業務用)</t>
  </si>
  <si>
    <t>鉄有固-工具器具及び備品-工器備-家具・電気・ガス・家庭用品-床用敷物(その他)</t>
  </si>
  <si>
    <t>鉄有固-工具器具及び備品-工器備-家具・電気・ガス・家庭用品-室内装飾品(金属製)</t>
  </si>
  <si>
    <t>鉄有固-工具器具及び備品-工器備-家具・電気・ガス・家庭用品-室内装飾品(その他)</t>
  </si>
  <si>
    <t>鉄有固-工具器具及び備品-工器備-家具・電気・ガス・家庭用品-食事・厨房用品(陶磁器)</t>
  </si>
  <si>
    <t>鉄有固-工具器具及び備品-工器備-家具・電気・ガス・家庭用品-食事・厨房用品(その他)</t>
  </si>
  <si>
    <t>鉄有固-工具器具及び備品-工器備-家具・電気・ガス・家庭用品-その他のもの(金属製)</t>
  </si>
  <si>
    <t>鉄有固-工具器具及び備品-工器備-家具・電気・ガス・家庭用品-その他のもの(その他)</t>
  </si>
  <si>
    <t>鉄有固-工具器具及び備品-工器備-事務・通信機器-謄写機器・タイプライター(印書業用)</t>
  </si>
  <si>
    <t>鉄有固-工具器具及び備品-工器備-事務・通信機器-謄写機器・タイプライター(その他)</t>
  </si>
  <si>
    <t>鉄有固-工具器具及び備品-工器備-事務・通信機器-電子計算機(PC(サーバ用を除く))</t>
  </si>
  <si>
    <t>鉄有固-工具器具及び備品-工器備-事務・通信機器-電子計算機(その他)</t>
  </si>
  <si>
    <t>鉄有固-工具器具及び備品-工器備-事務・通信機器-複写機・計算機・金銭登録機</t>
  </si>
  <si>
    <t>鉄有固-工具器具及び備品-工器備-事務・通信機器-その他の事務機器</t>
  </si>
  <si>
    <t>鉄有固-工具器具及び備品-工器備-事務・通信機器-テレタイプライター及びファクシミリ</t>
  </si>
  <si>
    <t>鉄有固-工具器具及び備品-工器備-事務・通信機器-インターホーン及び放送用設備</t>
  </si>
  <si>
    <t>鉄有固-工具器具及び備品-工器備-事務・通信機器-その他の通信機器(デジタル構内交換)</t>
  </si>
  <si>
    <t>鉄有固-工具器具及び備品-工器備-事務・通信機器-その他の通信機器(その他のもの)</t>
  </si>
  <si>
    <t>鉄有固-工具器具及び備品-工器備-時計、試験機器及び測定機器-時計</t>
  </si>
  <si>
    <t>鉄有固-工具器具及び備品-工器備-時計、試験機器及び測定機器-度量衝器</t>
  </si>
  <si>
    <t>鉄有固-工具器具及び備品-工器備-時計、試験機器及び測定機器-試験又は測定機器</t>
  </si>
  <si>
    <t>鉄有固-工具器具及び備品-工器備-光学・写真製作機器-オペラグラス</t>
  </si>
  <si>
    <t>鉄有固-工具器具及び備品-工器備-光学・写真製作機器-カメラ、映画撮影機、映写機</t>
  </si>
  <si>
    <t>鉄有固-工具器具及び備品-工器備-光学・写真製作機器-その他の機器</t>
  </si>
  <si>
    <t>鉄有固-工具器具及び備品-工器備-看板・広告機器-看板、ネオンサイン及び気球</t>
  </si>
  <si>
    <t>鉄有固-工具器具及び備品-工器備-看板・広告機器-マネキン人形及び模型</t>
  </si>
  <si>
    <t>鉄有固-工具器具及び備品-工器備-看板・広告機器-その他のもの(主として金属製のもの)</t>
  </si>
  <si>
    <t>鉄有固-工具器具及び備品-工器備-看板・広告機器-その他のもの(その他のもの)</t>
  </si>
  <si>
    <t>鉄有固-工具器具及び備品-工器備-容器・金庫-ボンベ(溶接製のもの</t>
  </si>
  <si>
    <t>鉄有固-工具器具及び備品-工器備-容器・金庫-ボンベ(鍛造製)(塩素用のもの)</t>
  </si>
  <si>
    <t>鉄有固-工具器具及び備品-工器備-容器・金庫-ボンベ(鍛造製)(その他のもの)</t>
  </si>
  <si>
    <t>鉄有固-工具器具及び備品-工器備-容器・金庫-その他容器(コンテナ(長さが6m以上))</t>
  </si>
  <si>
    <t>鉄有固-工具器具及び備品-工器備-容器・金庫-その他の容器(金属製のもの)</t>
  </si>
  <si>
    <t>鉄有固-工具器具及び備品-工器備-容器・金庫-その他の容器(その他のもの)</t>
  </si>
  <si>
    <t>鉄有固-工具器具及び備品-工器備-容器・金庫-金庫(手さげ金庫)</t>
  </si>
  <si>
    <t>鉄有固-工具器具及び備品-工器備-容器・金庫-金庫(その他のもの)</t>
  </si>
  <si>
    <t>鉄有固-工具器具及び備品-工器備-医療機器-消毒殺菌用機器</t>
  </si>
  <si>
    <t>鉄有固-工具器具及び備品-工器備-医療機器-手術機器</t>
  </si>
  <si>
    <t>鉄有固-工具器具及び備品-工器備-医療機器-血液透析又は血しょう交換用機器</t>
  </si>
  <si>
    <t>鉄有固-工具器具及び備品-工器備-医療機器-その他の作動部分を有する機能回復訓練機器</t>
  </si>
  <si>
    <t>鉄有固-工具器具及び備品-工器備-医療機器-調剤機器</t>
  </si>
  <si>
    <t>鉄有固-工具器具及び備品-工器備-医療機器-歯科診療用ユニット</t>
  </si>
  <si>
    <t>鉄有固-工具器具及び備品-工器備-医療機器-光学検査機器(ファイバースコープ)</t>
  </si>
  <si>
    <t>鉄有固-工具器具及び備品-工器備-医療機器-光学検査機器(その他のもの)</t>
  </si>
  <si>
    <t>鉄有固-工具器具及び備品-工器備-医療機器-その他の電子装置を使用する機器(移動式)</t>
  </si>
  <si>
    <t>鉄有固-工具器具及び備品-工器備-医療機器-その他の電子装置を使用する機器(その他)</t>
  </si>
  <si>
    <t>鉄有固-工具器具及び備品-工器備-医療機器-その他のもの(陶磁器製又はガラス製のもの)</t>
  </si>
  <si>
    <t>鉄有固-工具器具及び備品-工器備-医療機器-その他のもの(主として金属製のもの)</t>
  </si>
  <si>
    <t>鉄有固-工具器具及び備品-工器備-医療機器-その他のもの(その他のもの)</t>
  </si>
  <si>
    <t>鉄有固-工具器具及び備品-工器備-前掲以外-映画フイルム・磁気テープ・レコード</t>
  </si>
  <si>
    <t>鉄有固-工具器具及び備品-工器備-前掲以外-シート及びロープ</t>
  </si>
  <si>
    <t>鉄有固-工具器具及び備品-工器備-前掲以外-きのこ栽培用ほだ木</t>
  </si>
  <si>
    <t>鉄有固-工具器具及び備品-工器備-前掲以外-漁具</t>
  </si>
  <si>
    <t>鉄有固-工具器具及び備品-工器備-前掲以外-葬儀用具</t>
  </si>
  <si>
    <t>鉄有固-工具器具及び備品-工器備-前掲以外-楽器</t>
  </si>
  <si>
    <t>鉄有固-工具器具及び備品-工器備-前掲以外-自動販売機(手動のものを含む。)</t>
  </si>
  <si>
    <t>鉄有固-工具器具及び備品-工器備-前掲以外-無人駐車管理装置</t>
  </si>
  <si>
    <t>鉄有固-工具器具及び備品-工器備-前掲以外-焼却炉</t>
  </si>
  <si>
    <t>鉄有固-工具器具及び備品-工器備-前掲以外-その他のもの(主として金属製のもの)</t>
  </si>
  <si>
    <t>鉄有固-工具器具及び備品-工器備-前掲以外-その他のもの(その他のもの)</t>
  </si>
  <si>
    <t>鉄有固-工具器具及び備品-運搬具-前掲以外-自動車-小型車(総排気量が0.66l以下)</t>
  </si>
  <si>
    <t>鉄有固-工具器具及び備品-運搬具-前掲以外-自動車-その他-貨物自動車-ダンプ式のもの</t>
  </si>
  <si>
    <t>鉄有固-工具器具及び備品-運搬具-前掲以外-自動車-その他-貨物自動車-その他のもの</t>
  </si>
  <si>
    <t>鉄有固-工具器具及び備品-運搬具-前掲以外-自動車-その他-報道通信用のもの</t>
  </si>
  <si>
    <t>鉄有固-工具器具及び備品-運搬具-前掲以外-自動車-その他-その他</t>
  </si>
  <si>
    <t>鉄有固-工具器具及び備品-運搬具-前掲以外-２輪又は３輪自動車</t>
  </si>
  <si>
    <t>鉄有固-工具器具及び備品-運搬具-前掲以外-自転車</t>
  </si>
  <si>
    <t>鉄有固-工具器具及び備品-運搬具-前掲以外-鉱山用人車、炭車、鉱車及び台車-金属製</t>
  </si>
  <si>
    <t>鉄有固-工具器具及び備品-運搬具-前掲以外-鉱山用人車、炭車、鉱車及び台車-その他</t>
  </si>
  <si>
    <t>鉄有固-工具器具及び備品-運搬具-前掲以外-フォークリフト</t>
  </si>
  <si>
    <t>鉄有固-工具器具及び備品-運搬具-前掲以外-トロッコ-金属製のもの</t>
  </si>
  <si>
    <t>鉄有固-工具器具及び備品-運搬具-前掲以外-トロッコ-その他のもの</t>
  </si>
  <si>
    <t>鉄有固-工具器具及び備品-運搬具-前掲以外-その他のもの-自走能力を有するもの</t>
  </si>
  <si>
    <t>鉄有固-工具器具及び備品-運搬具-前掲以外-その他のもの-その他のもの</t>
  </si>
  <si>
    <t>鉄有固-リース資産-土地</t>
  </si>
  <si>
    <t>鉄有固-リース資産-建物</t>
  </si>
  <si>
    <t>鉄有固-リース資産-構築物</t>
  </si>
  <si>
    <t>鉄有固-リース資産-車両</t>
  </si>
  <si>
    <t>鉄有固-リース資産-機械装置</t>
  </si>
  <si>
    <t>鉄有固-リース資産-工具器具及び備品</t>
  </si>
  <si>
    <t>鉄有固-運送施設 雑施設</t>
  </si>
  <si>
    <t>鉄有固-案内宣伝施設 土地-線路及び停車場用地</t>
  </si>
  <si>
    <t>鉄有固-案内宣伝施設 土地-変電所用地</t>
  </si>
  <si>
    <t>鉄有固-案内宣伝施設 土地-車庫及び工場用地</t>
  </si>
  <si>
    <t>鉄有固-案内宣伝施設 土地-倉庫用地</t>
  </si>
  <si>
    <t>鉄有固-案内宣伝施設 土地-事務所用地</t>
  </si>
  <si>
    <t>鉄有固-案内宣伝施設 土地-社宅及び寮用地</t>
  </si>
  <si>
    <t>鉄有固-案内宣伝施設 土地-雑用地</t>
  </si>
  <si>
    <t>鉄有固-案内宣伝施設 建物-鉄骨鉄筋コンクリート造又は鉄筋コンクリート造-停車場建物</t>
  </si>
  <si>
    <t>鉄有固-案内宣伝施設 建物-れんが造、石造又はブロック造-停車場建物</t>
  </si>
  <si>
    <t>鉄有固-案内宣伝施設 建物-金属造(骨格材の肉厚が4mm超)-停車場建物</t>
  </si>
  <si>
    <t>鉄有固-案内宣伝施設 建物-金属造(骨格材の肉厚が3mm超4mm以下)-停車場建物</t>
  </si>
  <si>
    <t>鉄有固-案内宣伝施設 建物-金属造(骨格材の肉厚が3mm以下)-停車場建物</t>
  </si>
  <si>
    <t>鉄有固-案内宣伝施設 建物-木造又は合成樹脂造-停車場建物</t>
  </si>
  <si>
    <t>鉄有固-案内宣伝施設 建物-木骨モルタル造-停車場建物</t>
  </si>
  <si>
    <t>鉄有固-案内宣伝施設 建物-簡易建物(木製主要柱が10cm角以下で土居、杉皮ぶき等)-停車場建物</t>
  </si>
  <si>
    <t>鉄有固-案内宣伝施設 建物-簡易建物(掘立造のもの及び仮設のもの)-停車場建物</t>
  </si>
  <si>
    <t>鉄有固-案内宣伝施設 建物付属-電気設備(照明設備を含む)-蓄電池電源設備-停車場建物</t>
  </si>
  <si>
    <t>鉄有固-案内宣伝施設 建物付属-電気設備(照明設備を含む)-その他のもの-停車場建物</t>
  </si>
  <si>
    <t>鉄有固-案内宣伝施設 建物付属-給排水又は衛生設備及びガス設備-停車場建物</t>
  </si>
  <si>
    <t>鉄有固-案内宣伝施設 建物付属-冷暖房・通風・ボイラー設備-22kw以下-停車場建物</t>
  </si>
  <si>
    <t>鉄有固-案内宣伝施設 建物付属-冷暖房・通風・ボイラー設備-その他のもの-停車場建物</t>
  </si>
  <si>
    <t>鉄有固-案内宣伝施設 建物付属-昇降機設備-エレベーター-停車場建物</t>
  </si>
  <si>
    <t>鉄有固-案内宣伝施設 建物付属-昇降機設備-エスカレーター-停車場建物</t>
  </si>
  <si>
    <t>鉄有固-案内宣伝施設 建物付属-消火・排煙・災害報知設備及び格納式避難設備-停車場建物</t>
  </si>
  <si>
    <t>鉄有固-案内宣伝施設 建物付属-エヤーカーテン又はドアー自動開閉設備-停車場建物</t>
  </si>
  <si>
    <t>鉄有固-案内宣伝施設 建物付属-アーケード又は日よけ設備-金属製-停車場建物</t>
  </si>
  <si>
    <t>鉄有固-案内宣伝施設 建物付属-アーケード又は日よけ設備-その他のもの-停車場建物</t>
  </si>
  <si>
    <t>鉄有固-案内宣伝施設 建物付属-店用簡易設備-停車場建物</t>
  </si>
  <si>
    <t>鉄有固-案内宣伝施設 建物付属-可動簡易装備-簡易なもの-停車場建物</t>
  </si>
  <si>
    <t>鉄有固-案内宣伝施設 建物付属-可動簡易装備-その他のもの-停車場建物</t>
  </si>
  <si>
    <t>鉄有固-案内宣伝施設 建物付属-前掲以外・前掲区分外-主として金属製のもの-停車場建物</t>
  </si>
  <si>
    <t>鉄有固-案内宣伝施設 建物付属-前掲以外・前掲区分外-その他のもの-停車場建物</t>
  </si>
  <si>
    <t>鉄有固-案内宣伝施設 建物-鉄骨鉄筋コンクリート造又は鉄筋コンクリート造-変電所建物</t>
  </si>
  <si>
    <t>鉄有固-案内宣伝施設 建物-れんが造、石造又はブロック造-変電所建物</t>
  </si>
  <si>
    <t>鉄有固-案内宣伝施設 建物-金属造(骨格材の肉厚が4mm超)-変電所建物</t>
  </si>
  <si>
    <t>鉄有固-案内宣伝施設 建物-金属造(骨格材の肉厚が3mm超4mm以下)-変電所建物</t>
  </si>
  <si>
    <t>鉄有固-案内宣伝施設 建物-金属造(骨格材の肉厚が3mm以下)-変電所建物</t>
  </si>
  <si>
    <t>鉄有固-案内宣伝施設 建物-木造又は合成樹脂造-変電所建物</t>
  </si>
  <si>
    <t>鉄有固-案内宣伝施設 建物-木骨モルタル造-変電所建物</t>
  </si>
  <si>
    <t>鉄有固-案内宣伝施設 建物-簡易建物(木製主要柱が10cm角以下で土居、杉皮ぶき等)-変電所建物</t>
  </si>
  <si>
    <t>鉄有固-案内宣伝施設 建物-簡易建物(掘立造のもの及び仮設のもの)-変電所建物</t>
  </si>
  <si>
    <t>鉄有固-案内宣伝施設 建物付属-電気設備(照明設備を含む)-蓄電池電源設備-変電所建物</t>
  </si>
  <si>
    <t>鉄有固-案内宣伝施設 建物付属-電気設備(照明設備を含む)-その他のもの-変電所建物</t>
  </si>
  <si>
    <t>鉄有固-案内宣伝施設 建物付属-給排水又は衛生設備及びガス設備-変電所建物</t>
  </si>
  <si>
    <t>鉄有固-案内宣伝施設 建物付属-冷暖房・通風・ボイラー設備-22kw以下-変電所建物</t>
  </si>
  <si>
    <t>鉄有固-案内宣伝施設 建物付属-冷暖房・通風・ボイラー設備-その他のもの-変電所建物</t>
  </si>
  <si>
    <t>鉄有固-案内宣伝施設 建物付属-昇降機設備-エレベーター-変電所建物</t>
  </si>
  <si>
    <t>鉄有固-案内宣伝施設 建物付属-昇降機設備-エスカレーター-変電所建物</t>
  </si>
  <si>
    <t>鉄有固-案内宣伝施設 建物付属-消火・排煙・災害報知設備及び格納式避難設備-変電所建物</t>
  </si>
  <si>
    <t>鉄有固-案内宣伝施設 建物付属-エヤーカーテン又はドアー自動開閉設備-変電所建物</t>
  </si>
  <si>
    <t>鉄有固-案内宣伝施設 建物付属-アーケード又は日よけ設備-金属製-変電所建物</t>
  </si>
  <si>
    <t>鉄有固-案内宣伝施設 建物付属-アーケード又は日よけ設備-その他のもの-変電所建物</t>
  </si>
  <si>
    <t>鉄有固-案内宣伝施設 建物付属-店用簡易設備-変電所建物</t>
  </si>
  <si>
    <t>鉄有固-案内宣伝施設 建物付属-可動簡易装備-簡易なもの-変電所建物</t>
  </si>
  <si>
    <t>鉄有固-案内宣伝施設 建物付属-可動簡易装備-その他のもの-変電所建物</t>
  </si>
  <si>
    <t>鉄有固-案内宣伝施設 建物付属-前掲以外・前掲区分外-主として金属製のもの-変電所建物</t>
  </si>
  <si>
    <t>鉄有固-案内宣伝施設 建物付属-前掲以外・前掲区分外-その他のもの-変電所建物</t>
  </si>
  <si>
    <t>鉄有固-案内宣伝施設 建物-鉄骨鉄筋コンクリート造又は鉄筋コンクリート造-車庫・工場</t>
  </si>
  <si>
    <t>鉄有固-案内宣伝施設 建物-れんが造、石造又はブロック造-車庫・工場</t>
  </si>
  <si>
    <t>鉄有固-案内宣伝施設 建物-金属造(骨格材の肉厚が4mm超)-車庫・工場</t>
  </si>
  <si>
    <t>鉄有固-案内宣伝施設 建物-金属造(骨格材の肉厚が3mm超4mm以下)-車庫・工場</t>
  </si>
  <si>
    <t>鉄有固-案内宣伝施設 建物-金属造(骨格材の肉厚が3mm以下)-車庫・工場</t>
  </si>
  <si>
    <t>鉄有固-案内宣伝施設 建物-木造又は合成樹脂造-車庫・工場</t>
  </si>
  <si>
    <t>鉄有固-案内宣伝施設 建物-木骨モルタル造-車庫・工場</t>
  </si>
  <si>
    <t>鉄有固-案内宣伝施設 建物-簡易建物(木製主要柱が10cm角以下で土居、杉皮ぶき等)-車庫・工場</t>
  </si>
  <si>
    <t>鉄有固-案内宣伝施設 建物-簡易建物(掘立造のもの及び仮設のもの)-車庫・工場</t>
  </si>
  <si>
    <t>鉄有固-案内宣伝施設 建物付属-電気設備(照明設備を含む)-蓄電池電源設備-車庫・工場</t>
  </si>
  <si>
    <t>鉄有固-案内宣伝施設 建物付属-電気設備(照明設備を含む)-その他のもの-車庫・工場</t>
  </si>
  <si>
    <t>鉄有固-案内宣伝施設 建物付属-給排水又は衛生設備及びガス設備-車庫・工場</t>
  </si>
  <si>
    <t>鉄有固-案内宣伝施設 建物付属-冷暖房・通風・ボイラー設備-22kw以下-車庫・工場</t>
  </si>
  <si>
    <t>鉄有固-案内宣伝施設 建物付属-冷暖房・通風・ボイラー設備-その他のもの-車庫・工場</t>
  </si>
  <si>
    <t>鉄有固-案内宣伝施設 建物付属-昇降機設備-エレベーター-車庫・工場</t>
  </si>
  <si>
    <t>鉄有固-案内宣伝施設 建物付属-昇降機設備-エスカレーター-車庫・工場</t>
  </si>
  <si>
    <t>鉄有固-案内宣伝施設 建物付属-消火・排煙・災害報知設備及び格納式避難設備-車庫・工場</t>
  </si>
  <si>
    <t>鉄有固-案内宣伝施設 建物付属-エヤーカーテン又はドアー自動開閉設備-車庫・工場</t>
  </si>
  <si>
    <t>鉄有固-案内宣伝施設 建物付属-アーケード又は日よけ設備-金属製-車庫・工場</t>
  </si>
  <si>
    <t>鉄有固-案内宣伝施設 建物付属-アーケード又は日よけ設備-その他のもの-車庫・工場</t>
  </si>
  <si>
    <t>鉄有固-案内宣伝施設 建物付属-店用簡易設備-車庫・工場</t>
  </si>
  <si>
    <t>鉄有固-案内宣伝施設 建物付属-可動簡易装備-簡易なもの-車庫・工場</t>
  </si>
  <si>
    <t>鉄有固-案内宣伝施設 建物付属-可動簡易装備-その他のもの-車庫・工場</t>
  </si>
  <si>
    <t>鉄有固-案内宣伝施設 建物付属-前掲以外・前掲区分外-主として金属製のもの-車庫・工場</t>
  </si>
  <si>
    <t>鉄有固-案内宣伝施設 建物付属-前掲以外・前掲区分外-その他のもの-車庫・工場</t>
  </si>
  <si>
    <t>鉄有固-案内宣伝施設 建物-鉄骨鉄筋コンクリート造又は鉄筋コンクリート造-倉庫建物</t>
  </si>
  <si>
    <t>鉄有固-案内宣伝施設 建物-れんが造、石造又はブロック造-倉庫建物</t>
  </si>
  <si>
    <t>鉄有固-案内宣伝施設 建物-金属造(骨格材の肉厚が4mm超)-倉庫建物</t>
  </si>
  <si>
    <t>鉄有固-案内宣伝施設 建物-金属造(骨格材の肉厚が3mm超4mm以下)-倉庫建物</t>
  </si>
  <si>
    <t>鉄有固-案内宣伝施設 建物-金属造(骨格材の肉厚が3mm以下)-倉庫建物</t>
  </si>
  <si>
    <t>鉄有固-案内宣伝施設 建物-木造又は合成樹脂造-倉庫建物</t>
  </si>
  <si>
    <t>鉄有固-案内宣伝施設 建物-木骨モルタル造-倉庫建物</t>
  </si>
  <si>
    <t>鉄有固-案内宣伝施設 建物-簡易建物(木製主要柱が10cm角以下で土居、杉皮ぶき等)-倉庫建物</t>
  </si>
  <si>
    <t>鉄有固-案内宣伝施設 建物-簡易建物(掘立造のもの及び仮設のもの)-倉庫建物</t>
  </si>
  <si>
    <t>鉄有固-案内宣伝施設 建物付属-電気設備(照明設備を含む)-蓄電池電源設備-倉庫建物</t>
  </si>
  <si>
    <t>鉄有固-案内宣伝施設 建物付属-電気設備(照明設備を含む)-その他のもの-倉庫建物</t>
  </si>
  <si>
    <t>鉄有固-案内宣伝施設 建物付属-給排水又は衛生設備及びガス設備-倉庫建物</t>
  </si>
  <si>
    <t>鉄有固-案内宣伝施設 建物付属-冷暖房・通風・ボイラー設備-22kw以下-倉庫建物</t>
  </si>
  <si>
    <t>鉄有固-案内宣伝施設 建物付属-冷暖房・通風・ボイラー設備-その他のもの-倉庫建物</t>
  </si>
  <si>
    <t>鉄有固-案内宣伝施設 建物付属-昇降機設備-エレベーター-倉庫建物</t>
  </si>
  <si>
    <t>鉄有固-案内宣伝施設 建物付属-昇降機設備-エスカレーター-倉庫建物</t>
  </si>
  <si>
    <t>鉄有固-案内宣伝施設 建物付属-消火・排煙・災害報知設備及び格納式避難設備-倉庫建物</t>
  </si>
  <si>
    <t>鉄有固-案内宣伝施設 建物付属-エヤーカーテン又はドアー自動開閉設備-倉庫建物</t>
  </si>
  <si>
    <t>鉄有固-案内宣伝施設 建物付属-アーケード又は日よけ設備-金属製-倉庫建物</t>
  </si>
  <si>
    <t>鉄有固-案内宣伝施設 建物付属-アーケード又は日よけ設備-その他のもの-倉庫建物</t>
  </si>
  <si>
    <t>鉄有固-案内宣伝施設 建物付属-店用簡易設備-倉庫建物</t>
  </si>
  <si>
    <t>鉄有固-案内宣伝施設 建物付属-可動簡易装備-簡易なもの-倉庫建物</t>
  </si>
  <si>
    <t>鉄有固-案内宣伝施設 建物付属-可動簡易装備-その他のもの-倉庫建物</t>
  </si>
  <si>
    <t>鉄有固-案内宣伝施設 建物付属-前掲以外・前掲区分外-主として金属製のもの-倉庫建物</t>
  </si>
  <si>
    <t>鉄有固-案内宣伝施設 建物付属-前掲以外・前掲区分外-その他のもの-倉庫建物</t>
  </si>
  <si>
    <t>鉄有固-案内宣伝施設 建物-鉄骨鉄筋コンクリート造又は鉄筋コンクリート造-詰所建物</t>
  </si>
  <si>
    <t>鉄有固-案内宣伝施設 建物-れんが造、石造又はブロック造-詰所建物</t>
  </si>
  <si>
    <t>鉄有固-案内宣伝施設 建物-金属造(骨格材の肉厚が4mm超)-詰所建物</t>
  </si>
  <si>
    <t>鉄有固-案内宣伝施設 建物-金属造(骨格材の肉厚が3mm超4mm以下)-詰所建物</t>
  </si>
  <si>
    <t>鉄有固-案内宣伝施設 建物-金属造(骨格材の肉厚が3mm以下)-詰所建物</t>
  </si>
  <si>
    <t>鉄有固-案内宣伝施設 建物-木造又は合成樹脂造-詰所建物</t>
  </si>
  <si>
    <t>鉄有固-案内宣伝施設 建物-木骨モルタル造-詰所建物</t>
  </si>
  <si>
    <t>鉄有固-案内宣伝施設 建物-簡易建物(木製主要柱が10cm角以下で土居、杉皮ぶき等)-詰所建物</t>
  </si>
  <si>
    <t>鉄有固-案内宣伝施設 建物-簡易建物(掘立造のもの及び仮設のもの)-詰所建物</t>
  </si>
  <si>
    <t>鉄有固-案内宣伝施設 建物付属-電気設備(照明設備を含む)-蓄電池電源設備-詰所建物</t>
  </si>
  <si>
    <t>鉄有固-案内宣伝施設 建物付属-電気設備(照明設備を含む)-その他のもの-詰所建物</t>
  </si>
  <si>
    <t>鉄有固-案内宣伝施設 建物付属-給排水又は衛生設備及びガス設備-詰所建物</t>
  </si>
  <si>
    <t>鉄有固-案内宣伝施設 建物付属-冷暖房・通風・ボイラー設備-22kw以下-詰所建物</t>
  </si>
  <si>
    <t>鉄有固-案内宣伝施設 建物付属-冷暖房・通風・ボイラー設備-その他のもの-詰所建物</t>
  </si>
  <si>
    <t>鉄有固-案内宣伝施設 建物付属-昇降機設備-エレベーター-詰所建物</t>
  </si>
  <si>
    <t>鉄有固-案内宣伝施設 建物付属-昇降機設備-エスカレーター-詰所建物</t>
  </si>
  <si>
    <t>鉄有固-案内宣伝施設 建物付属-消火・排煙・災害報知設備及び格納式避難設備-詰所建物</t>
  </si>
  <si>
    <t>鉄有固-案内宣伝施設 建物付属-エヤーカーテン又はドアー自動開閉設備-詰所建物</t>
  </si>
  <si>
    <t>鉄有固-案内宣伝施設 建物付属-アーケード又は日よけ設備-金属製-詰所建物</t>
  </si>
  <si>
    <t>鉄有固-案内宣伝施設 建物付属-アーケード又は日よけ設備-その他のもの-詰所建物</t>
  </si>
  <si>
    <t>鉄有固-案内宣伝施設 建物付属-店用簡易設備-詰所建物</t>
  </si>
  <si>
    <t>鉄有固-案内宣伝施設 建物付属-可動簡易装備-簡易なもの-詰所建物</t>
  </si>
  <si>
    <t>鉄有固-案内宣伝施設 建物付属-可動簡易装備-その他のもの-詰所建物</t>
  </si>
  <si>
    <t>鉄有固-案内宣伝施設 建物付属-前掲以外・前掲区分外-主として金属製のもの-詰所建物</t>
  </si>
  <si>
    <t>鉄有固-案内宣伝施設 建物付属-前掲以外・前掲区分外-その他のもの-詰所建物</t>
  </si>
  <si>
    <t>鉄有固-案内宣伝施設 建物-鉄骨鉄筋コンクリート造又は鉄筋コンクリート造-事務所建物</t>
  </si>
  <si>
    <t>鉄有固-案内宣伝施設 建物-れんが造、石造又はブロック造-事務所建物</t>
  </si>
  <si>
    <t>鉄有固-案内宣伝施設 建物-金属造(骨格材の肉厚が4mm超)-事務所建物</t>
  </si>
  <si>
    <t>鉄有固-案内宣伝施設 建物-金属造(骨格材の肉厚が3mm超4mm以下)-事務所建物</t>
  </si>
  <si>
    <t>鉄有固-案内宣伝施設 建物-金属造(骨格材の肉厚が3mm以下)-事務所建物</t>
  </si>
  <si>
    <t>鉄有固-案内宣伝施設 建物-木造又は合成樹脂造-事務所建物</t>
  </si>
  <si>
    <t>鉄有固-案内宣伝施設 建物-木骨モルタル造-事務所建物</t>
  </si>
  <si>
    <t>鉄有固-案内宣伝施設 建物-簡易建物(木製主要柱が10cm角以下で土居、杉皮ぶき等)-事務所建物</t>
  </si>
  <si>
    <t>鉄有固-案内宣伝施設 建物-簡易建物(掘立造のもの及び仮設のもの)-事務所建物</t>
  </si>
  <si>
    <t>鉄有固-案内宣伝施設 建物付属-電気設備(照明設備を含む)-蓄電池電源設備-事務所建物</t>
  </si>
  <si>
    <t>鉄有固-案内宣伝施設 建物付属-電気設備(照明設備を含む)-その他のもの-事務所建物</t>
  </si>
  <si>
    <t>鉄有固-案内宣伝施設 建物付属-給排水又は衛生設備及びガス設備-事務所建物</t>
  </si>
  <si>
    <t>鉄有固-案内宣伝施設 建物付属-冷暖房・通風・ボイラー設備-22kw以下-事務所建物</t>
  </si>
  <si>
    <t>鉄有固-案内宣伝施設 建物付属-冷暖房・通風・ボイラー設備-その他のもの-事務所建物</t>
  </si>
  <si>
    <t>鉄有固-案内宣伝施設 建物付属-昇降機設備-エレベーター-事務所建物</t>
  </si>
  <si>
    <t>鉄有固-案内宣伝施設 建物付属-昇降機設備-エスカレーター-事務所建物</t>
  </si>
  <si>
    <t>鉄有固-案内宣伝施設 建物付属-消火・排煙・災害報知設備及び格納式避難設備-事務所建物</t>
  </si>
  <si>
    <t>鉄有固-案内宣伝施設 建物付属-エヤーカーテン又はドアー自動開閉設備-事務所建物</t>
  </si>
  <si>
    <t>鉄有固-案内宣伝施設 建物付属-アーケード又は日よけ設備-金属製-事務所建物</t>
  </si>
  <si>
    <t>鉄有固-案内宣伝施設 建物付属-アーケード又は日よけ設備-その他のもの-事務所建物</t>
  </si>
  <si>
    <t>鉄有固-案内宣伝施設 建物付属-店用簡易設備-事務所建物</t>
  </si>
  <si>
    <t>鉄有固-案内宣伝施設 建物付属-可動簡易装備-簡易なもの-事務所建物</t>
  </si>
  <si>
    <t>鉄有固-案内宣伝施設 建物付属-可動簡易装備-その他のもの-事務所建物</t>
  </si>
  <si>
    <t>鉄有固-案内宣伝施設 建物付属-前掲以外・前掲区分外-主として金属製のもの-事務所建物</t>
  </si>
  <si>
    <t>鉄有固-案内宣伝施設 建物付属-前掲以外・前掲区分外-その他のもの-事務所建物</t>
  </si>
  <si>
    <t>鉄有固-案内宣伝施設 建物-鉄骨鉄筋コンクリート造又は鉄筋コンクリート造-社宅・寮建物</t>
  </si>
  <si>
    <t>鉄有固-案内宣伝施設 建物-れんが造、石造又はブロック造-社宅・寮建物</t>
  </si>
  <si>
    <t>鉄有固-案内宣伝施設 建物-金属造(骨格材の肉厚が4mm超)-社宅・寮建物</t>
  </si>
  <si>
    <t>鉄有固-案内宣伝施設 建物-金属造(骨格材の肉厚が3mm超4mm以下)-社宅・寮建物</t>
  </si>
  <si>
    <t>鉄有固-案内宣伝施設 建物-金属造(骨格材の肉厚が3mm以下)-社宅・寮建物</t>
  </si>
  <si>
    <t>鉄有固-案内宣伝施設 建物-木造又は合成樹脂造-社宅・寮建物</t>
  </si>
  <si>
    <t>鉄有固-案内宣伝施設 建物-木骨モルタル造-社宅・寮建物</t>
  </si>
  <si>
    <t>鉄有固-案内宣伝施設 建物-簡易建物(掘立造のもの及び仮設のもの)-社宅・寮建物</t>
  </si>
  <si>
    <t>鉄有固-案内宣伝施設 建物付属-電気設備(照明設備を含む)-蓄電池電源設備-社宅・寮建物</t>
  </si>
  <si>
    <t>鉄有固-案内宣伝施設 建物付属-電気設備(照明設備を含む)-その他のもの-社宅・寮建物</t>
  </si>
  <si>
    <t>鉄有固-案内宣伝施設 建物付属-給排水又は衛生設備及びガス設備-社宅・寮建物</t>
  </si>
  <si>
    <t>鉄有固-案内宣伝施設 建物付属-冷暖房・通風・ボイラー設備-22kw以下-社宅・寮建物</t>
  </si>
  <si>
    <t>鉄有固-案内宣伝施設 建物付属-冷暖房・通風・ボイラー設備-その他のもの-社宅・寮建物</t>
  </si>
  <si>
    <t>鉄有固-案内宣伝施設 建物付属-昇降機設備-エレベーター-社宅・寮建物</t>
  </si>
  <si>
    <t>鉄有固-案内宣伝施設 建物付属-昇降機設備-エスカレーター-社宅・寮建物</t>
  </si>
  <si>
    <t>鉄有固-案内宣伝施設 建物付属-消火・排煙・災害報知設備及び格納式避難設備-社宅・寮建物</t>
  </si>
  <si>
    <t>鉄有固-案内宣伝施設 建物付属-エヤーカーテン又はドアー自動開閉設備-社宅・寮建物</t>
  </si>
  <si>
    <t>鉄有固-案内宣伝施設 建物付属-アーケード又は日よけ設備-金属製-社宅・寮建物</t>
  </si>
  <si>
    <t>鉄有固-案内宣伝施設 建物付属-アーケード又は日よけ設備-その他のもの-社宅・寮建物</t>
  </si>
  <si>
    <t>鉄有固-案内宣伝施設 建物付属-店用簡易設備-社宅・寮建物</t>
  </si>
  <si>
    <t>鉄有固-案内宣伝施設 建物付属-可動簡易装備-簡易なもの-社宅・寮建物</t>
  </si>
  <si>
    <t>鉄有固-案内宣伝施設 建物付属-可動簡易装備-その他のもの-社宅・寮建物</t>
  </si>
  <si>
    <t>鉄有固-案内宣伝施設 建物付属-前掲以外・前掲区分外-主として金属製のもの-社宅・寮建物</t>
  </si>
  <si>
    <t>鉄有固-案内宣伝施設 建物付属-前掲以外・前掲区分外-その他のもの-社宅・寮建物</t>
  </si>
  <si>
    <t>鉄有固-案内宣伝施設 建物-雑建物-定額50年</t>
  </si>
  <si>
    <t>鉄有固-案内宣伝施設 建物-雑建物-定額47年</t>
  </si>
  <si>
    <t>鉄有固-案内宣伝施設 建物-雑建物-定額41年</t>
  </si>
  <si>
    <t>鉄有固-案内宣伝施設 建物-雑建物-定額39年</t>
  </si>
  <si>
    <t>鉄有固-案内宣伝施設 建物-雑建物-定額38年</t>
  </si>
  <si>
    <t>鉄有固-案内宣伝施設 建物-雑建物-定額36年</t>
  </si>
  <si>
    <t>鉄有固-案内宣伝施設 建物-雑建物-定額34年</t>
  </si>
  <si>
    <t>鉄有固-案内宣伝施設 建物-雑建物-定額31年</t>
  </si>
  <si>
    <t>鉄有固-案内宣伝施設 建物-雑建物-定額30年</t>
  </si>
  <si>
    <t>鉄有固-案内宣伝施設 建物-雑建物-定額29年</t>
  </si>
  <si>
    <t>鉄有固-案内宣伝施設 建物-雑建物-定額28年</t>
  </si>
  <si>
    <t>鉄有固-案内宣伝施設 建物-雑建物-定額27年</t>
  </si>
  <si>
    <t>鉄有固-案内宣伝施設 建物-雑建物-定額26年</t>
  </si>
  <si>
    <t>鉄有固-案内宣伝施設 建物-雑建物-定額25年</t>
  </si>
  <si>
    <t>鉄有固-案内宣伝施設 建物-雑建物-定額24年</t>
  </si>
  <si>
    <t>鉄有固-案内宣伝施設 建物-雑建物-定額22年</t>
  </si>
  <si>
    <t>鉄有固-案内宣伝施設 建物-雑建物-定額21年</t>
  </si>
  <si>
    <t>鉄有固-案内宣伝施設 建物-雑建物-定額20年</t>
  </si>
  <si>
    <t>鉄有固-案内宣伝施設 建物-雑建物-定額19年</t>
  </si>
  <si>
    <t>鉄有固-案内宣伝施設 建物-雑建物-定額17年</t>
  </si>
  <si>
    <t>鉄有固-案内宣伝施設 建物-雑建物-定額15年</t>
  </si>
  <si>
    <t>鉄有固-案内宣伝施設 建物-雑建物-定額14年</t>
  </si>
  <si>
    <t>鉄有固-案内宣伝施設 建物-雑建物-定額12年</t>
  </si>
  <si>
    <t>鉄有固-案内宣伝施設 建物-雑建物-定額11年</t>
  </si>
  <si>
    <t>鉄有固-案内宣伝施設 建物-雑建物-定額10年</t>
  </si>
  <si>
    <t>鉄有固-案内宣伝施設 建物-雑建物-定額09年</t>
  </si>
  <si>
    <t>鉄有固-案内宣伝施設 建物-雑建物-定額07年</t>
  </si>
  <si>
    <t>鉄有固-案内宣伝施設 建物付属-電気設備(照明設備を含む)-蓄電池電源設備-雑建物</t>
  </si>
  <si>
    <t>鉄有固-案内宣伝施設 建物付属-電気設備(照明設備を含む)-その他のもの-雑建物</t>
  </si>
  <si>
    <t>鉄有固-案内宣伝施設 建物付属-給排水又は衛生設備及びガス設備-雑建物</t>
  </si>
  <si>
    <t>鉄有固-案内宣伝施設 建物付属-冷暖房・通風・ボイラー設備-22kw以下-雑建物</t>
  </si>
  <si>
    <t>鉄有固-案内宣伝施設 建物付属-冷暖房・通風・ボイラー設備-その他のもの-雑建物</t>
  </si>
  <si>
    <t>鉄有固-案内宣伝施設 建物付属-昇降機設備-エレベーター-雑建物</t>
  </si>
  <si>
    <t>鉄有固-案内宣伝施設 建物付属-昇降機設備-エスカレーター-雑建物</t>
  </si>
  <si>
    <t>鉄有固-案内宣伝施設 建物付属-消火・排煙・災害報知設備及び格納式避難設備-雑建物</t>
  </si>
  <si>
    <t>鉄有固-案内宣伝施設 建物付属-エヤーカーテン又はドアー自動開閉設備-雑建物</t>
  </si>
  <si>
    <t>鉄有固-案内宣伝施設 建物付属-アーケード又は日よけ設備-金属製-雑建物</t>
  </si>
  <si>
    <t>鉄有固-案内宣伝施設 建物付属-アーケード又は日よけ設備-その他のもの-雑建物</t>
  </si>
  <si>
    <t>鉄有固-案内宣伝施設 建物付属-店用簡易設備-雑建物</t>
  </si>
  <si>
    <t>鉄有固-案内宣伝施設 建物付属-可動簡易装備-簡易なもの-雑建物</t>
  </si>
  <si>
    <t>鉄有固-案内宣伝施設 建物付属-可動簡易装備-その他のもの-雑建物</t>
  </si>
  <si>
    <t>鉄有固-案内宣伝施設 建物付属-前掲以外・前掲区分外-主として金属製のもの-雑建物</t>
  </si>
  <si>
    <t>鉄有固-案内宣伝施設 建物付属-前掲以外・前掲区分外-その他のもの-雑建物</t>
  </si>
  <si>
    <t>鉄有固-案内宣伝施設 雑施設</t>
  </si>
  <si>
    <t>広告有固-土地-事務所</t>
  </si>
  <si>
    <t>広告有固-土地-店舗</t>
  </si>
  <si>
    <t>広告有固-土地-その他</t>
  </si>
  <si>
    <t>広告有固-建物-事務所-定額50年</t>
  </si>
  <si>
    <t>広告有固-建物-事務所-定額41年</t>
  </si>
  <si>
    <t>広告有固-建物-事務所-定額38年</t>
  </si>
  <si>
    <t>広告有固-建物-事務所-定額30年</t>
  </si>
  <si>
    <t>広告有固-建物-事務所-定額22年</t>
  </si>
  <si>
    <t>広告有固-建物-事務所-定額24年</t>
  </si>
  <si>
    <t>広告有固-建物-事務所-定額10年</t>
  </si>
  <si>
    <t>広告有固-建物-事務所-定額07年</t>
  </si>
  <si>
    <t>広告有固-建物付属設備-事務所-定率18年</t>
  </si>
  <si>
    <t>広告有固-建物付属設備-事務所-定率17年</t>
  </si>
  <si>
    <t>広告有固-建物付属設備-事務所-定率15年</t>
  </si>
  <si>
    <t>広告有固-建物付属設備-事務所-定率13年</t>
  </si>
  <si>
    <t>広告有固-建物付属設備-事務所-定率12年</t>
  </si>
  <si>
    <t>広告有固-建物付属設備-事務所-定率10年</t>
  </si>
  <si>
    <t>広告有固-建物付属設備-事務所-定率08年</t>
  </si>
  <si>
    <t>広告有固-建物付属設備-事務所-定率03年</t>
  </si>
  <si>
    <t>広告有固-建物-店舗-定額39年</t>
  </si>
  <si>
    <t>広告有固-建物-店舗-定額38年</t>
  </si>
  <si>
    <t>広告有固-建物-店舗-定額34年</t>
  </si>
  <si>
    <t>広告有固-建物-店舗-定額27年</t>
  </si>
  <si>
    <t>広告有固-建物-店舗-定額19年</t>
  </si>
  <si>
    <t>広告有固-建物-店舗-定額22年</t>
  </si>
  <si>
    <t>広告有固-建物-店舗-定額20年</t>
  </si>
  <si>
    <t>広告有固-建物-店舗-定額10年</t>
  </si>
  <si>
    <t>広告有固-建物-店舗-定額07年</t>
  </si>
  <si>
    <t>広告有固-建物付属設備-店舗-定率18年</t>
  </si>
  <si>
    <t>広告有固-建物付属設備-店舗-定率17年</t>
  </si>
  <si>
    <t>広告有固-建物付属設備-店舗-定率15年</t>
  </si>
  <si>
    <t>広告有固-建物付属設備-店舗-定率13年</t>
  </si>
  <si>
    <t>広告有固-建物付属設備-店舗-定率12年</t>
  </si>
  <si>
    <t>広告有固-建物付属設備-店舗-定率10年</t>
  </si>
  <si>
    <t>広告有固-建物付属設備-店舗-定率08年</t>
  </si>
  <si>
    <t>広告有固-建物付属設備-店舗-定率03年</t>
  </si>
  <si>
    <t>広告有固-建物-その他-定額50年</t>
  </si>
  <si>
    <t>広告有固-建物-その他-定額47年</t>
  </si>
  <si>
    <t>広告有固-建物-その他-定額41年</t>
  </si>
  <si>
    <t>広告有固-建物-その他-定額39年</t>
  </si>
  <si>
    <t>広告有固-建物-その他-定額38年</t>
  </si>
  <si>
    <t>広告有固-建物-その他-定額36年</t>
  </si>
  <si>
    <t>広告有固-建物-その他-定額34年</t>
  </si>
  <si>
    <t>広告有固-建物-その他-定額31年</t>
  </si>
  <si>
    <t>広告有固-建物-その他-定額30年</t>
  </si>
  <si>
    <t>広告有固-建物-その他-定額29年</t>
  </si>
  <si>
    <t>広告有固-建物-その他-定額28年</t>
  </si>
  <si>
    <t>広告有固-建物-その他-定額27年</t>
  </si>
  <si>
    <t>広告有固-建物-その他-定額26年</t>
  </si>
  <si>
    <t>広告有固-建物-その他-定額25年</t>
  </si>
  <si>
    <t>広告有固-建物-その他-定額24年</t>
  </si>
  <si>
    <t>広告有固-建物-その他-定額22年</t>
  </si>
  <si>
    <t>広告有固-建物-その他-定額21年</t>
  </si>
  <si>
    <t>広告有固-建物-その他-定額20年</t>
  </si>
  <si>
    <t>広告有固-建物-その他-定額19年</t>
  </si>
  <si>
    <t>広告有固-建物-その他-定額17年</t>
  </si>
  <si>
    <t>広告有固-建物-その他-定額15年</t>
  </si>
  <si>
    <t>広告有固-建物-その他-定額14年</t>
  </si>
  <si>
    <t>広告有固-建物-その他-定額12年</t>
  </si>
  <si>
    <t>広告有固-建物-その他-定額11年</t>
  </si>
  <si>
    <t>広告有固-建物-その他-定額10年</t>
  </si>
  <si>
    <t>広告有固-建物-その他-定額09年</t>
  </si>
  <si>
    <t>広告有固-建物-その他-定額07年</t>
  </si>
  <si>
    <t>広告有固-建物付属設備-その他-定率18年</t>
  </si>
  <si>
    <t>広告有固-建物付属設備-その他-定率17年</t>
  </si>
  <si>
    <t>広告有固-建物付属設備-その他-定率15年</t>
  </si>
  <si>
    <t>広告有固-建物付属設備-その他-定率13年</t>
  </si>
  <si>
    <t>広告有固-建物付属設備-その他-定率12年</t>
  </si>
  <si>
    <t>広告有固-建物付属設備-その他-定率10年</t>
  </si>
  <si>
    <t>広告有固-建物付属設備-その他-定率08年</t>
  </si>
  <si>
    <t>広告有固-建物付属設備-その他-定率03年</t>
  </si>
  <si>
    <t>広告有固-構築物-定率80年</t>
  </si>
  <si>
    <t>広告有固-構築物-定率75年</t>
  </si>
  <si>
    <t>広告有固-構築物-定率60年</t>
  </si>
  <si>
    <t>広告有固-構築物-定率57年</t>
  </si>
  <si>
    <t>広告有固-構築物-定率50年</t>
  </si>
  <si>
    <t>広告有固-構築物-定率45年</t>
  </si>
  <si>
    <t>広告有固-構築物-定率42年</t>
  </si>
  <si>
    <t>広告有固-構築物-定率41年</t>
  </si>
  <si>
    <t>広告有固-構築物-定率40年</t>
  </si>
  <si>
    <t>広告有固-構築物-定率36年</t>
  </si>
  <si>
    <t>広告有固-構築物-定率35年</t>
  </si>
  <si>
    <t>広告有固-構築物-定率34年</t>
  </si>
  <si>
    <t>広告有固-構築物-定率32年</t>
  </si>
  <si>
    <t>広告有固-構築物-定率30年</t>
  </si>
  <si>
    <t>広告有固-構築物-定率27年</t>
  </si>
  <si>
    <t>広告有固-構築物-定率25年</t>
  </si>
  <si>
    <t>広告有固-構築物-定率24年</t>
  </si>
  <si>
    <t>広告有固-構築物-定率22年</t>
  </si>
  <si>
    <t>広告有固-構築物-定率21年</t>
  </si>
  <si>
    <t>広告有固-構築物-定率20年</t>
  </si>
  <si>
    <t>広告有固-構築物-定率19年</t>
  </si>
  <si>
    <t>広告有固-構築物-定率17年</t>
  </si>
  <si>
    <t>広告有固-構築物-定率16年</t>
  </si>
  <si>
    <t>広告有固-構築物-定率15年</t>
  </si>
  <si>
    <t>広告有固-構築物-定率14年</t>
  </si>
  <si>
    <t>広告有固-構築物-定率13年</t>
  </si>
  <si>
    <t>広告有固-構築物-定率12年</t>
  </si>
  <si>
    <t>広告有固-構築物-定率10年</t>
  </si>
  <si>
    <t>広告有固-構築物-定率08年</t>
  </si>
  <si>
    <t>広告有固-構築物-定率07年</t>
  </si>
  <si>
    <t>広告有固-構築物-定率05年</t>
  </si>
  <si>
    <t>広告有固-構築物-定率03年</t>
  </si>
  <si>
    <t>広告有固-機械装置-定率22年</t>
  </si>
  <si>
    <t>広告有固-機械装置-定率20年</t>
  </si>
  <si>
    <t>広告有固-機械装置-定率18年</t>
  </si>
  <si>
    <t>広告有固-機械装置-定率17年</t>
  </si>
  <si>
    <t>広告有固-機械装置-定率15年</t>
  </si>
  <si>
    <t>広告有固-機械装置-定率14年</t>
  </si>
  <si>
    <t>広告有固-機械装置-定率13年</t>
  </si>
  <si>
    <t>広告有固-機械装置-定率12年</t>
  </si>
  <si>
    <t>広告有固-機械装置-定率11年</t>
  </si>
  <si>
    <t>広告有固-機械装置-定率10年</t>
  </si>
  <si>
    <t>広告有固-機械装置-定率09年</t>
  </si>
  <si>
    <t>広告有固-機械装置-定率08年</t>
  </si>
  <si>
    <t>広告有固-機械装置-定率07年</t>
  </si>
  <si>
    <t>広告有固-機械装置-定率06年</t>
  </si>
  <si>
    <t>広告有固-機械装置-定率05年</t>
  </si>
  <si>
    <t>広告有固-機械装置-定率04年</t>
  </si>
  <si>
    <t>広告有固-機械装置-定率03年</t>
  </si>
  <si>
    <t>広告有固-工具器具及び備品-工器備-定率13年</t>
  </si>
  <si>
    <t>広告有固-工具器具及び備品-工器備-定率08年</t>
  </si>
  <si>
    <t>広告有固-工具器具及び備品-工器備-定率05年</t>
  </si>
  <si>
    <t>広告有固-工具器具及び備品-工器備-定率04年</t>
  </si>
  <si>
    <t>広告有固-工具器具及び備品-工器備-定率03年</t>
  </si>
  <si>
    <t>広告有固-工具器具及び備品-工器備-定率02年</t>
  </si>
  <si>
    <t>広告有固-工具器具及び備品-工器備-定率20年</t>
  </si>
  <si>
    <t>広告有固-工具器具及び備品-工器備-定率15年</t>
  </si>
  <si>
    <t>広告有固-工具器具及び備品-工器備-定率10年</t>
  </si>
  <si>
    <t>広告有固-工具器具及び備品-工器備-定率07年</t>
  </si>
  <si>
    <t>広告有固-工具器具及び備品-工器備-定率06年</t>
  </si>
  <si>
    <t>広告有固-工具器具及び備品-運搬具-定率07年</t>
  </si>
  <si>
    <t>広告有固-工具器具及び備品-運搬具-定率06年</t>
  </si>
  <si>
    <t>広告有固-工具器具及び備品-運搬具-定率05年</t>
  </si>
  <si>
    <t>広告有固-工具器具及び備品-運搬具-定率04年</t>
  </si>
  <si>
    <t>広告有固-工具器具及び備品-運搬具-定率03年</t>
  </si>
  <si>
    <t>広告有固-工具器具及び備品-運搬具-定率02年</t>
  </si>
  <si>
    <t>広告有固-リース資産-土地</t>
  </si>
  <si>
    <t>広告有固-リース資産-建物</t>
  </si>
  <si>
    <t>広告有固-リース資産-構築物</t>
  </si>
  <si>
    <t>広告有固-リース資産-車両</t>
  </si>
  <si>
    <t>広告有固-リース資産-機械装置</t>
  </si>
  <si>
    <t>広告有固-リース資産-工具器具及び備品</t>
  </si>
  <si>
    <t>広告有固-雑施設</t>
  </si>
  <si>
    <t>不動産有固-土地-事務所</t>
  </si>
  <si>
    <t>不動産有固-土地-店舗</t>
  </si>
  <si>
    <t>不動産有固-土地-その他</t>
  </si>
  <si>
    <t>不動産有固-建物-事務所-定額50年</t>
  </si>
  <si>
    <t>不動産有固-建物-事務所-定額41年</t>
  </si>
  <si>
    <t>不動産有固-建物-事務所-定額38年</t>
  </si>
  <si>
    <t>不動産有固-建物-事務所-定額30年</t>
  </si>
  <si>
    <t>不動産有固-建物-事務所-定額22年</t>
  </si>
  <si>
    <t>不動産有固-建物-事務所-定額24年</t>
  </si>
  <si>
    <t>不動産有固-建物-事務所-定額10年</t>
  </si>
  <si>
    <t>不動産有固-建物-事務所-定額07年</t>
  </si>
  <si>
    <t>不動産有固-建物付属設備-事務所-定率18年</t>
  </si>
  <si>
    <t>不動産有固-建物付属設備-事務所-定率17年</t>
  </si>
  <si>
    <t>不動産有固-建物付属設備-事務所-定率15年</t>
  </si>
  <si>
    <t>不動産有固-建物付属設備-事務所-定率13年</t>
  </si>
  <si>
    <t>不動産有固-建物付属設備-事務所-定率12年</t>
  </si>
  <si>
    <t>不動産有固-建物付属設備-事務所-定率10年</t>
  </si>
  <si>
    <t>不動産有固-建物付属設備-事務所-定率08年</t>
  </si>
  <si>
    <t>不動産有固-建物付属設備-事務所-定率03年</t>
  </si>
  <si>
    <t>不動産有固-建物-店舗-定額39年</t>
  </si>
  <si>
    <t>不動産有固-建物-店舗-定額38年</t>
  </si>
  <si>
    <t>不動産有固-建物-店舗-定額34年</t>
  </si>
  <si>
    <t>不動産有固-建物-店舗-定額27年</t>
  </si>
  <si>
    <t>不動産有固-建物-店舗-定額19年</t>
  </si>
  <si>
    <t>不動産有固-建物-店舗-定額22年</t>
  </si>
  <si>
    <t>不動産有固-建物-店舗-定額20年</t>
  </si>
  <si>
    <t>不動産有固-建物-店舗-定額10年</t>
  </si>
  <si>
    <t>不動産有固-建物-店舗-定額07年</t>
  </si>
  <si>
    <t>不動産有固-建物付属設備-店舗-定率18年</t>
  </si>
  <si>
    <t>不動産有固-建物付属設備-店舗-定率17年</t>
  </si>
  <si>
    <t>不動産有固-建物付属設備-店舗-定率15年</t>
  </si>
  <si>
    <t>不動産有固-建物付属設備-店舗-定率13年</t>
  </si>
  <si>
    <t>不動産有固-建物付属設備-店舗-定率12年</t>
  </si>
  <si>
    <t>不動産有固-建物付属設備-店舗-定率10年</t>
  </si>
  <si>
    <t>不動産有固-建物付属設備-店舗-定率08年</t>
  </si>
  <si>
    <t>不動産有固-建物付属設備-店舗-定率03年</t>
  </si>
  <si>
    <t>不動産有固-建物-その他-定額50年</t>
  </si>
  <si>
    <t>不動産有固-建物-その他-定額47年</t>
  </si>
  <si>
    <t>不動産有固-建物-その他-定額41年</t>
  </si>
  <si>
    <t>不動産有固-建物-その他-定額39年</t>
  </si>
  <si>
    <t>不動産有固-建物-その他-定額38年</t>
  </si>
  <si>
    <t>不動産有固-建物-その他-定額36年</t>
  </si>
  <si>
    <t>不動産有固-建物-その他-定額34年</t>
  </si>
  <si>
    <t>不動産有固-建物-その他-定額31年</t>
  </si>
  <si>
    <t>不動産有固-建物-その他-定額30年</t>
  </si>
  <si>
    <t>不動産有固-建物-その他-定額29年</t>
  </si>
  <si>
    <t>不動産有固-建物-その他-定額28年</t>
  </si>
  <si>
    <t>不動産有固-建物-その他-定額27年</t>
  </si>
  <si>
    <t>不動産有固-建物-その他-定額26年</t>
  </si>
  <si>
    <t>不動産有固-建物-その他-定額25年</t>
  </si>
  <si>
    <t>不動産有固-建物-その他-定額24年</t>
  </si>
  <si>
    <t>不動産有固-建物-その他-定額22年</t>
  </si>
  <si>
    <t>不動産有固-建物-その他-定額21年</t>
  </si>
  <si>
    <t>不動産有固-建物-その他-定額20年</t>
  </si>
  <si>
    <t>不動産有固-建物-その他-定額19年</t>
  </si>
  <si>
    <t>不動産有固-建物-その他-定額17年</t>
  </si>
  <si>
    <t>不動産有固-建物-その他-定額15年</t>
  </si>
  <si>
    <t>不動産有固-建物-その他-定額14年</t>
  </si>
  <si>
    <t>不動産有固-建物-その他-定額12年</t>
  </si>
  <si>
    <t>不動産有固-建物-その他-定額11年</t>
  </si>
  <si>
    <t>不動産有固-建物-その他-定額10年</t>
  </si>
  <si>
    <t>不動産有固-建物-その他-定額09年</t>
  </si>
  <si>
    <t>不動産有固-建物-その他-定額07年</t>
  </si>
  <si>
    <t>不動産有固-建物付属設備-その他-定率18年</t>
  </si>
  <si>
    <t>不動産有固-建物付属設備-その他-定率17年</t>
  </si>
  <si>
    <t>不動産有固-建物付属設備-その他-定率15年</t>
  </si>
  <si>
    <t>不動産有固-建物付属設備-その他-定率13年</t>
  </si>
  <si>
    <t>不動産有固-建物付属設備-その他-定率12年</t>
  </si>
  <si>
    <t>不動産有固-建物付属設備-その他-定率10年</t>
  </si>
  <si>
    <t>不動産有固-建物付属設備-その他-定率08年</t>
  </si>
  <si>
    <t>不動産有固-建物付属設備-その他-定率03年</t>
  </si>
  <si>
    <t>不動産有固-構築物-定率80年</t>
  </si>
  <si>
    <t>不動産有固-構築物-定率75年</t>
  </si>
  <si>
    <t>不動産有固-構築物-定率60年</t>
  </si>
  <si>
    <t>不動産有固-構築物-定率57年</t>
  </si>
  <si>
    <t>不動産有固-構築物-定率50年</t>
  </si>
  <si>
    <t>不動産有固-構築物-定率45年</t>
  </si>
  <si>
    <t>不動産有固-構築物-定率42年</t>
  </si>
  <si>
    <t>不動産有固-構築物-定率41年</t>
  </si>
  <si>
    <t>不動産有固-構築物-定率40年</t>
  </si>
  <si>
    <t>不動産有固-構築物-定率36年</t>
  </si>
  <si>
    <t>不動産有固-構築物-定率35年</t>
  </si>
  <si>
    <t>不動産有固-構築物-定率34年</t>
  </si>
  <si>
    <t>不動産有固-構築物-定率32年</t>
  </si>
  <si>
    <t>不動産有固-構築物-定率30年</t>
  </si>
  <si>
    <t>不動産有固-構築物-定率27年</t>
  </si>
  <si>
    <t>不動産有固-構築物-定率25年</t>
  </si>
  <si>
    <t>不動産有固-構築物-定率24年</t>
  </si>
  <si>
    <t>不動産有固-構築物-定率22年</t>
  </si>
  <si>
    <t>不動産有固-構築物-定率21年</t>
  </si>
  <si>
    <t>不動産有固-構築物-定率20年</t>
  </si>
  <si>
    <t>不動産有固-構築物-定率19年</t>
  </si>
  <si>
    <t>不動産有固-構築物-定率17年</t>
  </si>
  <si>
    <t>不動産有固-構築物-定率16年</t>
  </si>
  <si>
    <t>不動産有固-構築物-定率15年</t>
  </si>
  <si>
    <t>不動産有固-構築物-定率14年</t>
  </si>
  <si>
    <t>不動産有固-構築物-定率13年</t>
  </si>
  <si>
    <t>不動産有固-構築物-定率12年</t>
  </si>
  <si>
    <t>不動産有固-構築物-定率10年</t>
  </si>
  <si>
    <t>不動産有固-構築物-定率08年</t>
  </si>
  <si>
    <t>不動産有固-構築物-定率07年</t>
  </si>
  <si>
    <t>不動産有固-構築物-定率05年</t>
  </si>
  <si>
    <t>不動産有固-構築物-定率03年</t>
  </si>
  <si>
    <t>不動産有固-機械装置-定率22年</t>
  </si>
  <si>
    <t>不動産有固-機械装置-定率20年</t>
  </si>
  <si>
    <t>不動産有固-機械装置-定率18年</t>
  </si>
  <si>
    <t>不動産有固-機械装置-定率17年</t>
  </si>
  <si>
    <t>不動産有固-機械装置-定率15年</t>
  </si>
  <si>
    <t>不動産有固-機械装置-定率14年</t>
  </si>
  <si>
    <t>不動産有固-機械装置-定率13年</t>
  </si>
  <si>
    <t>不動産有固-機械装置-定率12年</t>
  </si>
  <si>
    <t>不動産有固-機械装置-定率11年</t>
  </si>
  <si>
    <t>不動産有固-機械装置-定率10年</t>
  </si>
  <si>
    <t>不動産有固-機械装置-定率09年</t>
  </si>
  <si>
    <t>不動産有固-機械装置-定率08年</t>
  </si>
  <si>
    <t>不動産有固-機械装置-定率07年</t>
  </si>
  <si>
    <t>不動産有固-機械装置-定率06年</t>
  </si>
  <si>
    <t>不動産有固-機械装置-定率05年</t>
  </si>
  <si>
    <t>不動産有固-機械装置-定率04年</t>
  </si>
  <si>
    <t>不動産有固-機械装置-定率03年</t>
  </si>
  <si>
    <t>不動産有固-工具器具及び備品-工器備-定率13年</t>
  </si>
  <si>
    <t>不動産有固-工具器具及び備品-工器備-定率08年</t>
  </si>
  <si>
    <t>不動産有固-工具器具及び備品-工器備-定率05年</t>
  </si>
  <si>
    <t>不動産有固-工具器具及び備品-工器備-定率04年</t>
  </si>
  <si>
    <t>不動産有固-工具器具及び備品-工器備-定率03年</t>
  </si>
  <si>
    <t>不動産有固-工具器具及び備品-工器備-定率02年</t>
  </si>
  <si>
    <t>不動産有固-工具器具及び備品-工器備-定率20年</t>
  </si>
  <si>
    <t>不動産有固-工具器具及び備品-工器備-定率15年</t>
  </si>
  <si>
    <t>不動産有固-工具器具及び備品-工器備-定率10年</t>
  </si>
  <si>
    <t>不動産有固-工具器具及び備品-工器備-定率07年</t>
  </si>
  <si>
    <t>不動産有固-工具器具及び備品-工器備-定率06年</t>
  </si>
  <si>
    <t>不動産有固-工具器具及び備品-運搬具-定率07年</t>
  </si>
  <si>
    <t>不動産有固-工具器具及び備品-運搬具-定率06年</t>
  </si>
  <si>
    <t>不動産有固-工具器具及び備品-運搬具-定率05年</t>
  </si>
  <si>
    <t>不動産有固-工具器具及び備品-運搬具-定率04年</t>
  </si>
  <si>
    <t>不動産有固-工具器具及び備品-運搬具-定率03年</t>
  </si>
  <si>
    <t>不動産有固-工具器具及び備品-運搬具-定率02年</t>
  </si>
  <si>
    <t>不動産有固-リース資産-土地</t>
  </si>
  <si>
    <t>不動産有固-リース資産-建物</t>
  </si>
  <si>
    <t>不動産有固-リース資産-構築物</t>
  </si>
  <si>
    <t>不動産有固-リース資産-車両</t>
  </si>
  <si>
    <t>不動産有固-リース資産-機械装置</t>
  </si>
  <si>
    <t>不動産有固-リース資産-工具器具及び備品</t>
  </si>
  <si>
    <t>不動産有固-雑施設</t>
  </si>
  <si>
    <t>流通有固-土地-事務所</t>
  </si>
  <si>
    <t>流通有固-土地-店舗</t>
  </si>
  <si>
    <t>流通有固-土地-その他</t>
  </si>
  <si>
    <t>流通有固-建物-事務所-定額50年</t>
  </si>
  <si>
    <t>流通有固-建物-事務所-定額41年</t>
  </si>
  <si>
    <t>流通有固-建物-事務所-定額38年</t>
  </si>
  <si>
    <t>流通有固-建物-事務所-定額30年</t>
  </si>
  <si>
    <t>流通有固-建物-事務所-定額22年</t>
  </si>
  <si>
    <t>流通有固-建物-事務所-定額24年</t>
  </si>
  <si>
    <t>流通有固-建物-事務所-定額10年</t>
  </si>
  <si>
    <t>流通有固-建物-事務所-定額07年</t>
  </si>
  <si>
    <t>流通有固-建物付属設備-事務所-定率18年</t>
  </si>
  <si>
    <t>流通有固-建物付属設備-事務所-定率17年</t>
  </si>
  <si>
    <t>流通有固-建物付属設備-事務所-定率15年</t>
  </si>
  <si>
    <t>流通有固-建物付属設備-事務所-定率13年</t>
  </si>
  <si>
    <t>流通有固-建物付属設備-事務所-定率12年</t>
  </si>
  <si>
    <t>流通有固-建物付属設備-事務所-定率10年</t>
  </si>
  <si>
    <t>流通有固-建物付属設備-事務所-定率08年</t>
  </si>
  <si>
    <t>流通有固-建物付属設備-事務所-定率03年</t>
  </si>
  <si>
    <t>流通有固-建物-店舗-定額39年</t>
  </si>
  <si>
    <t>流通有固-建物-店舗-定額38年</t>
  </si>
  <si>
    <t>流通有固-建物-店舗-定額34年</t>
  </si>
  <si>
    <t>流通有固-建物-店舗-定額27年</t>
  </si>
  <si>
    <t>流通有固-建物-店舗-定額19年</t>
  </si>
  <si>
    <t>流通有固-建物-店舗-定額22年</t>
  </si>
  <si>
    <t>流通有固-建物-店舗-定額20年</t>
  </si>
  <si>
    <t>流通有固-建物-店舗-定額10年</t>
  </si>
  <si>
    <t>流通有固-建物-店舗-定額07年</t>
  </si>
  <si>
    <t>流通有固-建物付属設備-店舗-定率18年</t>
  </si>
  <si>
    <t>流通有固-建物付属設備-店舗-定率17年</t>
  </si>
  <si>
    <t>流通有固-建物付属設備-店舗-定率15年</t>
  </si>
  <si>
    <t>流通有固-建物付属設備-店舗-定率13年</t>
  </si>
  <si>
    <t>流通有固-建物付属設備-店舗-定率12年</t>
  </si>
  <si>
    <t>流通有固-建物付属設備-店舗-定率10年</t>
  </si>
  <si>
    <t>流通有固-建物付属設備-店舗-定率08年</t>
  </si>
  <si>
    <t>流通有固-建物付属設備-店舗-定率03年</t>
  </si>
  <si>
    <t>流通有固-建物-その他-定額50年</t>
  </si>
  <si>
    <t>流通有固-建物-その他-定額47年</t>
  </si>
  <si>
    <t>流通有固-建物-その他-定額41年</t>
  </si>
  <si>
    <t>流通有固-建物-その他-定額39年</t>
  </si>
  <si>
    <t>流通有固-建物-その他-定額38年</t>
  </si>
  <si>
    <t>流通有固-建物-その他-定額36年</t>
  </si>
  <si>
    <t>流通有固-建物-その他-定額34年</t>
  </si>
  <si>
    <t>流通有固-建物-その他-定額31年</t>
  </si>
  <si>
    <t>流通有固-建物-その他-定額30年</t>
  </si>
  <si>
    <t>流通有固-建物-その他-定額29年</t>
  </si>
  <si>
    <t>流通有固-建物-その他-定額28年</t>
  </si>
  <si>
    <t>流通有固-建物-その他-定額27年</t>
  </si>
  <si>
    <t>流通有固-建物-その他-定額26年</t>
  </si>
  <si>
    <t>流通有固-建物-その他-定額25年</t>
  </si>
  <si>
    <t>流通有固-建物-その他-定額24年</t>
  </si>
  <si>
    <t>流通有固-建物-その他-定額22年</t>
  </si>
  <si>
    <t>流通有固-建物-その他-定額21年</t>
  </si>
  <si>
    <t>流通有固-建物-その他-定額20年</t>
  </si>
  <si>
    <t>流通有固-建物-その他-定額19年</t>
  </si>
  <si>
    <t>流通有固-建物-その他-定額17年</t>
  </si>
  <si>
    <t>流通有固-建物-その他-定額15年</t>
  </si>
  <si>
    <t>流通有固-建物-その他-定額14年</t>
  </si>
  <si>
    <t>流通有固-建物-その他-定額12年</t>
  </si>
  <si>
    <t>流通有固-建物-その他-定額11年</t>
  </si>
  <si>
    <t>流通有固-建物-その他-定額10年</t>
  </si>
  <si>
    <t>流通有固-建物-その他-定額09年</t>
  </si>
  <si>
    <t>流通有固-建物-その他-定額07年</t>
  </si>
  <si>
    <t>流通有固-建物付属設備-その他-定率18年</t>
  </si>
  <si>
    <t>流通有固-建物付属設備-その他-定率17年</t>
  </si>
  <si>
    <t>流通有固-建物付属設備-その他-定率15年</t>
  </si>
  <si>
    <t>流通有固-建物付属設備-その他-定率13年</t>
  </si>
  <si>
    <t>流通有固-建物付属設備-その他-定率12年</t>
  </si>
  <si>
    <t>流通有固-建物付属設備-その他-定率10年</t>
  </si>
  <si>
    <t>流通有固-建物付属設備-その他-定率08年</t>
  </si>
  <si>
    <t>流通有固-建物付属設備-その他-定率03年</t>
  </si>
  <si>
    <t>流通有固-構築物-定率80年</t>
  </si>
  <si>
    <t>流通有固-構築物-定率75年</t>
  </si>
  <si>
    <t>流通有固-構築物-定率60年</t>
  </si>
  <si>
    <t>流通有固-構築物-定率57年</t>
  </si>
  <si>
    <t>流通有固-構築物-定率50年</t>
  </si>
  <si>
    <t>流通有固-構築物-定率45年</t>
  </si>
  <si>
    <t>流通有固-構築物-定率42年</t>
  </si>
  <si>
    <t>流通有固-構築物-定率41年</t>
  </si>
  <si>
    <t>流通有固-構築物-定率40年</t>
  </si>
  <si>
    <t>流通有固-構築物-定率36年</t>
  </si>
  <si>
    <t>流通有固-構築物-定率35年</t>
  </si>
  <si>
    <t>流通有固-構築物-定率34年</t>
  </si>
  <si>
    <t>流通有固-構築物-定率32年</t>
  </si>
  <si>
    <t>流通有固-構築物-定率30年</t>
  </si>
  <si>
    <t>流通有固-構築物-定率27年</t>
  </si>
  <si>
    <t>流通有固-構築物-定率25年</t>
  </si>
  <si>
    <t>流通有固-構築物-定率24年</t>
  </si>
  <si>
    <t>流通有固-構築物-定率22年</t>
  </si>
  <si>
    <t>流通有固-構築物-定率21年</t>
  </si>
  <si>
    <t>流通有固-構築物-定率20年</t>
  </si>
  <si>
    <t>流通有固-構築物-定率19年</t>
  </si>
  <si>
    <t>流通有固-構築物-定率17年</t>
  </si>
  <si>
    <t>流通有固-構築物-定率16年</t>
  </si>
  <si>
    <t>流通有固-構築物-定率15年</t>
  </si>
  <si>
    <t>流通有固-構築物-定率14年</t>
  </si>
  <si>
    <t>流通有固-構築物-定率13年</t>
  </si>
  <si>
    <t>流通有固-構築物-定率12年</t>
  </si>
  <si>
    <t>流通有固-構築物-定率10年</t>
  </si>
  <si>
    <t>流通有固-構築物-定率08年</t>
  </si>
  <si>
    <t>流通有固-構築物-定率07年</t>
  </si>
  <si>
    <t>流通有固-構築物-定率05年</t>
  </si>
  <si>
    <t>流通有固-構築物-定率03年</t>
  </si>
  <si>
    <t>流通有固-機械装置-定率22年</t>
  </si>
  <si>
    <t>流通有固-機械装置-定率20年</t>
  </si>
  <si>
    <t>流通有固-機械装置-定率18年</t>
  </si>
  <si>
    <t>流通有固-機械装置-定率17年</t>
  </si>
  <si>
    <t>流通有固-機械装置-定率15年</t>
  </si>
  <si>
    <t>流通有固-機械装置-定率14年</t>
  </si>
  <si>
    <t>流通有固-機械装置-定率13年</t>
  </si>
  <si>
    <t>流通有固-機械装置-定率12年</t>
  </si>
  <si>
    <t>流通有固-機械装置-定率11年</t>
  </si>
  <si>
    <t>流通有固-機械装置-定率10年</t>
  </si>
  <si>
    <t>流通有固-機械装置-定率09年</t>
  </si>
  <si>
    <t>流通有固-機械装置-定率08年</t>
  </si>
  <si>
    <t>流通有固-機械装置-定率07年</t>
  </si>
  <si>
    <t>流通有固-機械装置-定率06年</t>
  </si>
  <si>
    <t>流通有固-機械装置-定率05年</t>
  </si>
  <si>
    <t>流通有固-機械装置-定率04年</t>
  </si>
  <si>
    <t>流通有固-機械装置-定率03年</t>
  </si>
  <si>
    <t>流通有固-工具器具及び備品-工器備-定率13年</t>
  </si>
  <si>
    <t>流通有固-工具器具及び備品-工器備-定率08年</t>
  </si>
  <si>
    <t>流通有固-工具器具及び備品-工器備-定率05年</t>
  </si>
  <si>
    <t>流通有固-工具器具及び備品-工器備-定率04年</t>
  </si>
  <si>
    <t>流通有固-工具器具及び備品-工器備-定率03年</t>
  </si>
  <si>
    <t>流通有固-工具器具及び備品-工器備-定率02年</t>
  </si>
  <si>
    <t>流通有固-工具器具及び備品-工器備-定率20年</t>
  </si>
  <si>
    <t>流通有固-工具器具及び備品-工器備-定率15年</t>
  </si>
  <si>
    <t>流通有固-工具器具及び備品-工器備-定率10年</t>
  </si>
  <si>
    <t>流通有固-工具器具及び備品-工器備-定率07年</t>
  </si>
  <si>
    <t>流通有固-工具器具及び備品-工器備-定率06年</t>
  </si>
  <si>
    <t>流通有固-工具器具及び備品-運搬具-定率07年</t>
  </si>
  <si>
    <t>流通有固-工具器具及び備品-運搬具-定率06年</t>
  </si>
  <si>
    <t>流通有固-工具器具及び備品-運搬具-定率05年</t>
  </si>
  <si>
    <t>流通有固-工具器具及び備品-運搬具-定率04年</t>
  </si>
  <si>
    <t>流通有固-工具器具及び備品-運搬具-定率03年</t>
  </si>
  <si>
    <t>流通有固-工具器具及び備品-運搬具-定率02年</t>
  </si>
  <si>
    <t>流通有固-リース資産-土地</t>
  </si>
  <si>
    <t>流通有固-リース資産-建物</t>
  </si>
  <si>
    <t>流通有固-リース資産-構築物</t>
  </si>
  <si>
    <t>流通有固-リース資産-車両</t>
  </si>
  <si>
    <t>流通有固-リース資産-機械装置</t>
  </si>
  <si>
    <t>流通有固-リース資産-工具器具及び備品</t>
  </si>
  <si>
    <t>流通有固-雑施設</t>
  </si>
  <si>
    <t>サービス有固-土地-事務所</t>
  </si>
  <si>
    <t>サービス有固-土地-店舗</t>
  </si>
  <si>
    <t>サービス有固-土地-その他</t>
  </si>
  <si>
    <t>サービス有固-建物-事務所-定額50年</t>
  </si>
  <si>
    <t>サービス有固-建物-事務所-定額41年</t>
  </si>
  <si>
    <t>サービス有固-建物-事務所-定額38年</t>
  </si>
  <si>
    <t>サービス有固-建物-事務所-定額30年</t>
  </si>
  <si>
    <t>サービス有固-建物-事務所-定額22年</t>
  </si>
  <si>
    <t>サービス有固-建物-事務所-定額24年</t>
  </si>
  <si>
    <t>サービス有固-建物-事務所-定額10年</t>
  </si>
  <si>
    <t>サービス有固-建物-事務所-定額07年</t>
  </si>
  <si>
    <t>サービス有固-建物付属設備-事務所-定率18年</t>
  </si>
  <si>
    <t>サービス有固-建物付属設備-事務所-定率17年</t>
  </si>
  <si>
    <t>サービス有固-事務所-定率15年</t>
  </si>
  <si>
    <t>サービス有固-建物付属設備-事務所-定率13年</t>
  </si>
  <si>
    <t>サービス有固-建物付属設備-事務所-定率12年</t>
  </si>
  <si>
    <t>サービス有固-建物付属設備-事務所-定率10年</t>
  </si>
  <si>
    <t>サービス有固-建物付属設備-事務所-定率08年</t>
  </si>
  <si>
    <t>サービス有固-建物付属設備-事務所-定率03年</t>
  </si>
  <si>
    <t>サービス有固-建物-店舗-定額39年</t>
  </si>
  <si>
    <t>サービス有固-建物-店舗-定額38年</t>
  </si>
  <si>
    <t>サービス有固-建物-店舗-定額34年</t>
  </si>
  <si>
    <t>サービス有固-建物-店舗-定額27年</t>
  </si>
  <si>
    <t>サービス有固-建物-店舗-定額19年</t>
  </si>
  <si>
    <t>サービス有固-建物-店舗-定額22年</t>
  </si>
  <si>
    <t>サービス有固-建物-店舗-定額20年</t>
  </si>
  <si>
    <t>サービス有固-建物-店舗-定額10年</t>
  </si>
  <si>
    <t>サービス有固-建物-店舗-定額07年</t>
  </si>
  <si>
    <t>サービス有固-建物付属設備-店舗-定率18年</t>
  </si>
  <si>
    <t>サービス有固-建物付属設備-店舗-定率17年</t>
  </si>
  <si>
    <t>サービス有固-建物付属設備-店舗-定率15年</t>
  </si>
  <si>
    <t>サービス有固-建物付属設備-店舗-定率13年</t>
  </si>
  <si>
    <t>サービス有固-建物付属設備-店舗-定率12年</t>
  </si>
  <si>
    <t>サービス有固-建物付属設備-店舗-定率10年</t>
  </si>
  <si>
    <t>サービス有固-建物付属設備-店舗-定率08年</t>
  </si>
  <si>
    <t>サービス有固-建物付属設備-店舗-定率03年</t>
  </si>
  <si>
    <t>サービス有固-建物-その他-定額50年</t>
  </si>
  <si>
    <t>サービス有固-建物-その他-定額47年</t>
  </si>
  <si>
    <t>サービス有固-建物-その他-定額41年</t>
  </si>
  <si>
    <t>サービス有固-建物-その他-定額39年</t>
  </si>
  <si>
    <t>サービス有固-建物-その他-定額38年</t>
  </si>
  <si>
    <t>サービス有固-建物-その他-定額36年</t>
  </si>
  <si>
    <t>サービス有固-建物-その他-定額34年</t>
  </si>
  <si>
    <t>サービス有固-建物-その他-定額31年</t>
  </si>
  <si>
    <t>サービス有固-建物-その他-定額30年</t>
  </si>
  <si>
    <t>サービス有固-建物-その他-定額29年</t>
  </si>
  <si>
    <t>サービス有固-建物-その他-定額28年</t>
  </si>
  <si>
    <t>サービス有固-建物-その他-定額27年</t>
  </si>
  <si>
    <t>サービス有固-建物-その他-定額26年</t>
  </si>
  <si>
    <t>サービス有固-建物-その他-定額25年</t>
  </si>
  <si>
    <t>サービス有固-建物-その他-定額24年</t>
  </si>
  <si>
    <t>サービス有固-建物-その他-定額22年</t>
  </si>
  <si>
    <t>サービス有固-建物-その他-定額21年</t>
  </si>
  <si>
    <t>サービス有固-建物-その他-定額20年</t>
  </si>
  <si>
    <t>サービス有固-建物-その他-定額19年</t>
  </si>
  <si>
    <t>サービス有固-建物-その他-定額17年</t>
  </si>
  <si>
    <t>サービス有固-建物-その他-定額15年</t>
  </si>
  <si>
    <t>サービス有固-建物-その他-定額14年</t>
  </si>
  <si>
    <t>サービス有固-建物-その他-定額12年</t>
  </si>
  <si>
    <t>サービス有固-建物-その他-定額11年</t>
  </si>
  <si>
    <t>サービス有固-建物-その他-定額10年</t>
  </si>
  <si>
    <t>サービス有固-建物-その他-定額09年</t>
  </si>
  <si>
    <t>サービス有固-建物-その他-定額07年</t>
  </si>
  <si>
    <t>サービス有固-建物付属設備-その他-定率18年</t>
  </si>
  <si>
    <t>サービス有固-建物付属設備-その他-定率17年</t>
  </si>
  <si>
    <t>サービス有固-建物付属設備-その他-定率15年</t>
  </si>
  <si>
    <t>サービス有固-建物付属設備-その他-定率13年</t>
  </si>
  <si>
    <t>サービス有固-建物付属設備-その他-定率12年</t>
  </si>
  <si>
    <t>サービス有固-建物付属設備-その他-定率10年</t>
  </si>
  <si>
    <t>サービス有固-建物付属設備-その他-定率08年</t>
  </si>
  <si>
    <t>サービス有固-建物付属設備-その他-定率03年</t>
  </si>
  <si>
    <t>サービス有固-構築物-定率80年</t>
  </si>
  <si>
    <t>サービス有固-構築物-定率75年</t>
  </si>
  <si>
    <t>サービス有固-構築物-定率60年</t>
  </si>
  <si>
    <t>サービス有固-構築物-定率57年</t>
  </si>
  <si>
    <t>サービス有固-構築物-定率50年</t>
  </si>
  <si>
    <t>サービス有固-構築物-定率45年</t>
  </si>
  <si>
    <t>サービス有固-構築物-定率42年</t>
  </si>
  <si>
    <t>サービス有固-構築物-定率41年</t>
  </si>
  <si>
    <t>サービス有固-構築物-定率40年</t>
  </si>
  <si>
    <t>サービス有固-構築物-定率36年</t>
  </si>
  <si>
    <t>サービス有固-構築物-定率35年</t>
  </si>
  <si>
    <t>サービス有固-構築物-定率34年</t>
  </si>
  <si>
    <t>サービス有固-構築物-定率32年</t>
  </si>
  <si>
    <t>サービス有固-構築物-定率30年</t>
  </si>
  <si>
    <t>サービス有固-構築物-定率27年</t>
  </si>
  <si>
    <t>サービス有固-構築物-定率25年</t>
  </si>
  <si>
    <t>サービス有固-構築物-定率24年</t>
  </si>
  <si>
    <t>サービス有固-構築物-定率22年</t>
  </si>
  <si>
    <t>サービス有固-構築物-定率21年</t>
  </si>
  <si>
    <t>サービス有固-構築物-定率20年</t>
  </si>
  <si>
    <t>サービス有固-構築物-定率19年</t>
  </si>
  <si>
    <t>サービス有固-構築物-定率17年</t>
  </si>
  <si>
    <t>サービス有固-構築物-定率16年</t>
  </si>
  <si>
    <t>サービス有固-構築物-定率15年</t>
  </si>
  <si>
    <t>サービス有固-構築物-定率14年</t>
  </si>
  <si>
    <t>サービス有固-構築物-定率13年</t>
  </si>
  <si>
    <t>サービス有固-構築物-定率12年</t>
  </si>
  <si>
    <t>サービス有固-構築物-定率10年</t>
  </si>
  <si>
    <t>サービス有固-構築物-定率08年</t>
  </si>
  <si>
    <t>サービス有固-構築物-定率07年</t>
  </si>
  <si>
    <t>サービス有固-構築物-定率05年</t>
  </si>
  <si>
    <t>サービス有固-構築物-定率03年</t>
  </si>
  <si>
    <t>サービス有固-機械装置-定率22年</t>
  </si>
  <si>
    <t>サービス有固-機械装置-定率20年</t>
  </si>
  <si>
    <t>サービス有固-機械装置-定率18年</t>
  </si>
  <si>
    <t>サービス有固-機械装置-定率17年</t>
  </si>
  <si>
    <t>サービス有固-機械装置-定率15年</t>
  </si>
  <si>
    <t>サービス有固-機械装置-定率14年</t>
  </si>
  <si>
    <t>サービス有固-機械装置-定率13年</t>
  </si>
  <si>
    <t>サービス有固-機械装置-定率12年</t>
  </si>
  <si>
    <t>サービス有固-機械装置-定率11年</t>
  </si>
  <si>
    <t>サービス有固-機械装置-定率10年</t>
  </si>
  <si>
    <t>サービス有固-機械装置-定率09年</t>
  </si>
  <si>
    <t>サービス有固-機械装置-定率08年</t>
  </si>
  <si>
    <t>サービス有固-機械装置-定率07年</t>
  </si>
  <si>
    <t>サービス有固-機械装置-定率06年</t>
  </si>
  <si>
    <t>サービス有固-機械装置-定率05年</t>
  </si>
  <si>
    <t>サービス有固-機械装置-定率04年</t>
  </si>
  <si>
    <t>サービス有固-機械装置-定率03年</t>
  </si>
  <si>
    <t>サービス有固-工具器具及び備品-工器備-定率13年</t>
  </si>
  <si>
    <t>サービス有固-工具器具及び備品-工器備-定率08年</t>
  </si>
  <si>
    <t>サービス有固-工具器具及び備品-工器備-定率05年</t>
  </si>
  <si>
    <t>サービス有固-工具器具及び備品-工器備-定率04年</t>
  </si>
  <si>
    <t>サービス有固-工具器具及び備品-工器備-定率03年</t>
  </si>
  <si>
    <t>サービス有固-工具器具及び備品-工器備-定率02年</t>
  </si>
  <si>
    <t>サービス有固-工具器具及び備品-工器備-定率20年</t>
  </si>
  <si>
    <t>サービス有固-工具器具及び備品-工器備-定率15年</t>
  </si>
  <si>
    <t>サービス有固-工具器具及び備品-工器備-定率10年</t>
  </si>
  <si>
    <t>サービス有固-工具器具及び備品-工器備-定率07年</t>
  </si>
  <si>
    <t>サービス有固-工具器具及び備品-工器備-定率06年</t>
  </si>
  <si>
    <t>サービス有固-工具器具及び備品-運搬具-定率07年</t>
  </si>
  <si>
    <t>サービス有固-工具器具及び備品-運搬具-定率06年</t>
  </si>
  <si>
    <t>サービス有固-工具器具及び備品-運搬具-定率05年</t>
  </si>
  <si>
    <t>サービス有固-工具器具及び備品-運搬具-定率04年</t>
  </si>
  <si>
    <t>サービス有固-工具器具及び備品-運搬具-定率03年</t>
  </si>
  <si>
    <t>サービス有固-工具器具及び備品-運搬具-定率02年</t>
  </si>
  <si>
    <t>サービス有固-リース資産-土地</t>
  </si>
  <si>
    <t>サービス有固-リース資産-建物</t>
  </si>
  <si>
    <t>サービス有固-リース資産-構築物</t>
  </si>
  <si>
    <t>サービス有固-リース資産-車両</t>
  </si>
  <si>
    <t>サービス有固-リース資産-機械装置</t>
  </si>
  <si>
    <t>サービス有固-リース資産-工具器具及び備品</t>
  </si>
  <si>
    <t>サービス有固-雑施設</t>
  </si>
  <si>
    <t>その他の固定資産</t>
  </si>
  <si>
    <t>建設仮勘定-鉄道事業-直接費</t>
  </si>
  <si>
    <t>建設仮勘定-鉄道事業-間接費</t>
  </si>
  <si>
    <t>建設仮勘定-鉄道事業-ソフトウェア</t>
  </si>
  <si>
    <t>建設仮勘定-広告事業-直接費</t>
  </si>
  <si>
    <t>建設仮勘定-広告事業-間接費</t>
  </si>
  <si>
    <t>建設仮勘定-不動産事業-直接費</t>
  </si>
  <si>
    <t>建設仮勘定-不動産事業-間接費</t>
  </si>
  <si>
    <t>建設仮勘定-不動産事業-ソフトウェア</t>
  </si>
  <si>
    <t>建設仮勘定-流通事業-直接費</t>
  </si>
  <si>
    <t>建設仮勘定-流通事業-間接費</t>
  </si>
  <si>
    <t>建設仮勘定-流通事業-ソフトウェア</t>
  </si>
  <si>
    <t>建設仮勘定-サービス事業-直接費</t>
  </si>
  <si>
    <t>建設仮勘定-サービス事業-間接費</t>
  </si>
  <si>
    <t>建設仮勘定-サービス事業-ソフトウェア</t>
  </si>
  <si>
    <t>建設仮勘定-各事業関連-ソフトウェア</t>
  </si>
  <si>
    <t>各事業有固-土地-倉庫用地</t>
  </si>
  <si>
    <t>各事業有固-土地-事務所用地</t>
  </si>
  <si>
    <t>各事業有固-土地-社宅及び寮用地</t>
  </si>
  <si>
    <t>各事業有固-土地-雑用地</t>
  </si>
  <si>
    <t>各事業有固-建物-鉄骨鉄筋コンクリート造又は鉄筋コンクリート造のもの(その他)-倉庫建物</t>
  </si>
  <si>
    <t>各事業有固-建物-れんが造、石造又はブロック造のもの(その他)-倉庫建物</t>
  </si>
  <si>
    <t>各事業有固-建物-金属造のもの(骨格材の肉厚が4mm超)(その他)-倉庫建物</t>
  </si>
  <si>
    <t>各事業有固-建物-金属造のもの(骨格材の肉厚が3mm超4mm以下)(その他)-倉庫建物</t>
  </si>
  <si>
    <t>各事業有固-建物-金属造のもの(骨格材の肉厚が3mm以下)(その他)-倉庫建物</t>
  </si>
  <si>
    <t>各事業有固-建物-木造又は合成樹脂造のもの(その他)-倉庫建物</t>
  </si>
  <si>
    <t>各事業有固-建物-木骨モルタル造のもの(その他)-倉庫建物</t>
  </si>
  <si>
    <t>各事業有固-建物-簡易建物(木製主要柱10cm角以下で土居、杉皮ぶき等)-倉庫建物</t>
  </si>
  <si>
    <t>各事業有固-建物-簡易建物(掘立造のもの及び仮設のもの)-倉庫建物</t>
  </si>
  <si>
    <t>各事業有固-建物付属設備-電気設備(照明設備を含む。)-蓄電池電源設備</t>
  </si>
  <si>
    <t>各事業有固-建物付属設備-電気設備(照明設備を含む。)-その他のもの</t>
  </si>
  <si>
    <t>各事業有固-建物付属設備-給排水又は衛生設備及びガス設備</t>
  </si>
  <si>
    <t>各事業有固-建物付属設備-冷房、暖房、通風又はボイラー設備-冷凍機の出力が22kw以下</t>
  </si>
  <si>
    <t>各事業有固-建物付属設備-冷房、暖房、通風又はボイラー設備-その他のもの</t>
  </si>
  <si>
    <t>各事業有固-建物付属設備-昇降機設備-エレベーター</t>
  </si>
  <si>
    <t>各事業有固-建物付属設備-昇降機設備-エスカレーター</t>
  </si>
  <si>
    <t>各事業有固-建物付属設備-消火、排煙又は災害報知設備及び格納式避難設備</t>
  </si>
  <si>
    <t>各事業有固-建物付属設備-エヤーカーテン又はドアー自動開閉設備</t>
  </si>
  <si>
    <t>各事業有固-建物付属設備-アーケード又は日よけ設備-金属製</t>
  </si>
  <si>
    <t>各事業有固-建物付属設備-アーケード又は日よけ設備-その他のもの</t>
  </si>
  <si>
    <t>各事業有固-建物付属設備-店用簡易設備</t>
  </si>
  <si>
    <t>各事業有固-建物付属設備-可動簡易装備-簡易なもの</t>
  </si>
  <si>
    <t>各事業有固-建物付属設備-可動簡易装備-その他のもの</t>
  </si>
  <si>
    <t>各事業有固-建物付属設備-前掲のもの以外のもの及び前掲の区分によらないもの-主として金属製のもの</t>
  </si>
  <si>
    <t>各事業有固-建物付属設備-前掲のもの以外のもの及び前掲の区分によらないもの-その他のもの</t>
  </si>
  <si>
    <t>各事業有固-建物-鉄骨鉄筋コンクリート造又は鉄筋コンクリート造のもの-詰所建物</t>
  </si>
  <si>
    <t>各事業有固-建物-れんが造、石造又はブロック造のもの-詰所建物</t>
  </si>
  <si>
    <t>各事業有固-建物-金属造のもの(骨格材の肉厚が4mm超)-詰所建物</t>
  </si>
  <si>
    <t>各事業有固-建物-金属造のもの(骨格材の肉厚が3mm超4mm以下)-詰所建物</t>
  </si>
  <si>
    <t>各事業有固-建物-金属造のもの(骨格材の肉厚が3mm以下)-詰所建物</t>
  </si>
  <si>
    <t>各事業有固-建物-木造又は合成樹脂造のもの-詰所建物</t>
  </si>
  <si>
    <t>各事業有固-建物-木骨モルタル造のもの-詰所建物</t>
  </si>
  <si>
    <t>各事業有固-建物-簡易建物(木製主要柱10cm角以下で土居、杉皮ぶき等)-詰所建物</t>
  </si>
  <si>
    <t>各事業有固-建物-簡易建物(掘立造のもの及び仮設のもの)-詰所建物</t>
  </si>
  <si>
    <t>各事業有固-建物付属設備-冷房、暖房、通風又はボイラー設備-冷凍機の出力が22kw以下のもの</t>
  </si>
  <si>
    <t>各事業有固-建物-鉄骨鉄筋コンクリート造又は鉄筋コンクリート造のもの-事務所建物</t>
  </si>
  <si>
    <t>各事業有固-建物-れんが造、石造又はブロック造のもの-事務所建物</t>
  </si>
  <si>
    <t>各事業有固-建物-金属造のもの(骨格材の肉厚が4mm超)-事務所建物</t>
  </si>
  <si>
    <t>各事業有固-建物-金属造のもの(骨格材の肉厚が3mm超4mm以下)-事務所建物</t>
  </si>
  <si>
    <t>各事業有固-建物-金属造のもの(骨格材の肉厚が3mm以下)-事務所建物</t>
  </si>
  <si>
    <t>各事業有固-建物-木造又は合成樹脂造のもの-事務所建物</t>
  </si>
  <si>
    <t>各事業有固-建物-木骨モルタル造のもの-事務所建物</t>
  </si>
  <si>
    <t>各事業有固-建物-簡易建物(木製主要柱10cm角以下で土居、杉皮ぶき等)-事務所建物</t>
  </si>
  <si>
    <t>各事業有固-建物-簡易建物(掘立造のもの及び仮設のもの)-事務所建物</t>
  </si>
  <si>
    <t>各事業有固-建物-鉄骨鉄筋コンクリート造又は鉄筋コンクリート造のもの-社宅及び寮建物</t>
  </si>
  <si>
    <t>各事業有固-建物-れんが造、石造又はブロック造のもの-社宅及び寮建物</t>
  </si>
  <si>
    <t>各事業有固-建物-金属造のもの(骨格材の肉厚が4mm超)-社宅及び寮建物</t>
  </si>
  <si>
    <t>各事業有固-建物-金属造のもの(骨格材の肉厚が3mm超4mm以下)-社宅及び寮建物</t>
  </si>
  <si>
    <t>各事業有固-建物-金属造のもの(骨格材の肉厚が3mm以下)-社宅及び寮建物</t>
  </si>
  <si>
    <t>各事業有固-建物-木造又は合成樹脂造のもの-社宅及び寮建物</t>
  </si>
  <si>
    <t>各事業有固-建物-木骨モルタル造のもの-社宅及び寮建物</t>
  </si>
  <si>
    <t>各事業有固-建物-簡易建物(木製主要柱10cm角以下で土居、杉皮ぶき等)-社宅及び寮建物</t>
  </si>
  <si>
    <t>各事業有固産-建物-簡易建物(掘立造のもの及び仮設のもの)-社宅及び寮建物</t>
  </si>
  <si>
    <t>各事業有固-建物付属設備-冷房、暖房、通風又はボイラー設備-冷凍機の出力が22キロワット以下のもの</t>
  </si>
  <si>
    <t>各事業有固-建物-雑建物-定額50年</t>
  </si>
  <si>
    <t>各事業有固-建物-雑建物-定額47年</t>
  </si>
  <si>
    <t>各事業有固-建物-雑建物-定額41年</t>
  </si>
  <si>
    <t>各事業有固-建物-雑建物-定額39年</t>
  </si>
  <si>
    <t>各事業有固-建物-雑建物-定額38年</t>
  </si>
  <si>
    <t>各事業有固-建物-雑建物-定額36年</t>
  </si>
  <si>
    <t>各事業有固-建物-雑建物-定額34年</t>
  </si>
  <si>
    <t>各事業有固-建物-雑建物-定額31年</t>
  </si>
  <si>
    <t>各事業有固-建物-雑建物-定額30年</t>
  </si>
  <si>
    <t>各事業有固-建物-雑建物-定額29年</t>
  </si>
  <si>
    <t>各事業有固-建物-雑建物-定額28年</t>
  </si>
  <si>
    <t>各事業有固-建物-雑建物-定額27年</t>
  </si>
  <si>
    <t>各事業有固-建物-雑建物-定額26年</t>
  </si>
  <si>
    <t>各事業有固-建物-雑建物-定額25年</t>
  </si>
  <si>
    <t>各事業有固-建物-雑建物-定額24年</t>
  </si>
  <si>
    <t>各事業有固-建物-雑建物-定額22年</t>
  </si>
  <si>
    <t>各事業有固-建物-雑建物-定額21年</t>
  </si>
  <si>
    <t>各事業有固-建物-雑建物-定額20年</t>
  </si>
  <si>
    <t>各事業有固-建物-雑建物-定額19年</t>
  </si>
  <si>
    <t>各事業有固-建物-雑建物-定額17年</t>
  </si>
  <si>
    <t>各事業有固-建物-雑建物-定額15年</t>
  </si>
  <si>
    <t>各事業有固-建物-雑建物-定額14年</t>
  </si>
  <si>
    <t>各事業有固-建物-雑建物-定額12年</t>
  </si>
  <si>
    <t>各事業有固-建物-雑建物-定額11年</t>
  </si>
  <si>
    <t>各事業有固-建物-雑建物-定額10年</t>
  </si>
  <si>
    <t>各事業有固-建物-雑建物-定額09年</t>
  </si>
  <si>
    <t>各事業有固-建物-雑建物-定額07年</t>
  </si>
  <si>
    <t>各事業有固-建物付属設備-電気設備(照明設備を含む。)-その他のもの-雑建物</t>
  </si>
  <si>
    <t>各事業有固-建物付属設備-給排水又は衛生設備及びガス設備-雑建物</t>
  </si>
  <si>
    <t>各事業有固-建物付属設備-冷房、暖房、通風又はボイラー設備-冷凍機の出力が22kw以下のもの-雑建物</t>
  </si>
  <si>
    <t>各事業有固-建物付属設備-冷房、暖房、通風又はボイラー設備-その他のもの-雑建物</t>
  </si>
  <si>
    <t>各事業有固-建物付属設備-昇降機設備-エレベーター-雑建物</t>
  </si>
  <si>
    <t>各事業有固-建物付属設備-昇降機設備-エスカレーター-雑建物</t>
  </si>
  <si>
    <t>各事業有固-建物付属設備-消火、排煙又は災害報知設備及び格納式避難設備-雑建物</t>
  </si>
  <si>
    <t>各事業有固-建物付属設備-エヤーカーテン又はドアー自動開閉設備-雑建物</t>
  </si>
  <si>
    <t>各事業有固-建物付属設備-アーケード又は日よけ設備-金属製-雑建物</t>
  </si>
  <si>
    <t>各事業有固-建物付属設備-アーケード又は日よけ設備-その他のもの-雑建物</t>
  </si>
  <si>
    <t>各事業有固-建物付属設備-店用簡易設備-雑建物</t>
  </si>
  <si>
    <t>各事業有固-建物付属設備-可動簡易装備-簡易なもの-雑建物</t>
  </si>
  <si>
    <t>各事業有固-建物付属設備-可動簡易装備-その他のもの-雑建物</t>
  </si>
  <si>
    <t>各事業有固-建物付属設備-前掲以外-主として金属製のもの-雑建物</t>
  </si>
  <si>
    <t>各事業有固-建物付属設備-前掲のもの以外のもの及び前掲の区分によらないもの-その他のもの-雑建物</t>
  </si>
  <si>
    <t>各事業有固-構築物-通信線</t>
  </si>
  <si>
    <t>各事業有固-構築物-電話機</t>
  </si>
  <si>
    <t>各事業有固-構築物-電気時計</t>
  </si>
  <si>
    <t>各事業有固-構築物-拡声装置</t>
  </si>
  <si>
    <t>各事業有固-構築物-通信諸設備</t>
  </si>
  <si>
    <t>各事業有固-構築物-配電線</t>
  </si>
  <si>
    <t>各事業有固-構築物-電灯電力線</t>
  </si>
  <si>
    <t>各事業有固-構築物-支持物-その他の支持物(電柱及び腕木を除く)</t>
  </si>
  <si>
    <t>各事業有固-構築物-支持物-その他の支持物(腕木を含む)</t>
  </si>
  <si>
    <t>各事業有固-機械装置-通信機械-交換設備</t>
  </si>
  <si>
    <t>各事業有固-機械装置-雑機械-その他の設備(主として金属製のもの)</t>
  </si>
  <si>
    <t>各事業有固-機械装置-雑機械-その他の設備(その他のもの)</t>
  </si>
  <si>
    <t>各事業有固-工具器具及び備品-工器備-測定工具・検査工具(電気・電子を利用するものを含む)</t>
  </si>
  <si>
    <t>各事業有固-工具器具及び備品-工器備-治具及び取付工具</t>
  </si>
  <si>
    <t>各事業有固-工具器具及び備品-工器備-ロール-金属圧延用のもの</t>
  </si>
  <si>
    <t>各事業有固-工具器具及び備品-工器備-ロール-なつ染・粉砕・混錬ロールその他のもの</t>
  </si>
  <si>
    <t>各事業有固-工具器具及び備品-工器備-型・鍛圧・打抜工具-ガラス成型用金型及び鋳造用型</t>
  </si>
  <si>
    <t>各事業有固-工具器具及び備品-工器備-型・鍛圧・打抜工具-その他のもの</t>
  </si>
  <si>
    <t>各事業有固-工具器具及び備品-工器備-切削工具</t>
  </si>
  <si>
    <t>各事業有固-工具器具及び備品-工器備-金属製柱及びカッペ</t>
  </si>
  <si>
    <t>各事業有固-工具器具及び備品-工器備-活字・活字に常用される金属-購入活字</t>
  </si>
  <si>
    <t>各事業有固-工具器具及び備品-工器備-活字・活字に常用される金属-自製活字</t>
  </si>
  <si>
    <t>各事業有固-工具器具及び備品-工器備-前掲以外-白金ノズル</t>
  </si>
  <si>
    <t>各事業有固-工具器具及び備品-工器備-前掲以外-その他のもの</t>
  </si>
  <si>
    <t>各事業有固-工具器具及び備品-工器備-前掲区分外-白金ノズル</t>
  </si>
  <si>
    <t>各事業有固-工具器具及び備品-工器備-前掲区分外-その他の主として金属製のもの</t>
  </si>
  <si>
    <t>各事業有固-工具器具及び備品-工器備-前掲区分外-その他のもの</t>
  </si>
  <si>
    <t>各事業有固-工具器具及び備品-工器備-家具・電気・ガス・家庭用品-事務机・いす(金属)</t>
  </si>
  <si>
    <t>各事業有固-工具器具及び備品-工器備-家具・電気・ガス・家庭用品-事務机・いす(その他)</t>
  </si>
  <si>
    <t>各事業有固-工具器具及び備品-工器備-家具・電気・ガス・家庭用品-応接セット(接客業用)</t>
  </si>
  <si>
    <t>各事業有固-工具器具及び備品-工器備-家具・電気・ガス・家庭用品-応接セット(その他)</t>
  </si>
  <si>
    <t>各事業有固-工具器具及び備品-工器備-家具・電気・ガス・家庭用品-ベット</t>
  </si>
  <si>
    <t>各事業有固-工具器具及び備品-工器備-家具・電気・ガス・家庭用品-児童用机及びいす</t>
  </si>
  <si>
    <t>各事業有固-工具器具及び備品-工器備-家具・電気・ガス・家庭用品-陳列棚(冷凍・冷蔵機付)</t>
  </si>
  <si>
    <t>各事業有固-工具器具及び備品-工器備-家具・電気・ガス・家庭用品-陳列棚(その他)</t>
  </si>
  <si>
    <t>各事業有固-工具器具及び備品-工器備-家具・電気・ガス・家庭用品-その他の家具(接客業用)</t>
  </si>
  <si>
    <t>各事業有固-工具器具及び備品-工器備-家具・電気・ガス・家庭用品-その他の家具(金属製)</t>
  </si>
  <si>
    <t>各事業有固-工具器具及び備品-工器備-家具・電気・ガス・家庭用品-その他の家具(その他)</t>
  </si>
  <si>
    <t>各事業有固-工具器具及び備品-工器備-家具・電気・ガス・家庭用品-その他の音響機器</t>
  </si>
  <si>
    <t>各事業有固-工具器具及び備品-工器備-家具・電気・ガス・家庭用品-冷房用又は暖房用機器</t>
  </si>
  <si>
    <t>各事業有固-工具器具及び備品-工器備-家具・電気・ガス・家庭用品-その他電気・ガス機器</t>
  </si>
  <si>
    <t>各事業有固-工具器具及び備品-工器備-家具・電気・ガス・家庭用品-氷冷蔵庫・冷蔵ストッカー</t>
  </si>
  <si>
    <t>各事業有固-工具器具及び備品-工器備-家具・電気・ガス・家庭用品-その他繊維製品</t>
  </si>
  <si>
    <t>各事業有固-工具器具及び備品-工器備-家具・電気・ガス・家庭用品-床用敷物(業務用)</t>
  </si>
  <si>
    <t>各事業有固-工具器具及び備品-工器備-家具・電気・ガス・家庭用品-床用敷物(その他)</t>
  </si>
  <si>
    <t>各事業有固-工具器具及び備品-工器備-家具・電気・ガス・家庭用品-室内装飾品(金属製)</t>
  </si>
  <si>
    <t>各事業有固-工具器具及び備品-工器備-家具・電気・ガス・家庭用品-室内装飾品(その他)</t>
  </si>
  <si>
    <t>各事業有固-工具器具及び備品-工器備-家具・電気・ガス・家庭用品-食事・厨房用品(陶磁器)</t>
  </si>
  <si>
    <t>各事業有固-工具器具及び備品-工器備-家具・電気・ガス・家庭用品-食事・厨房用品(その他)</t>
  </si>
  <si>
    <t>各事業有固-工具器具及び備品-工器備-家具・電気・ガス・家庭用品-その他のもの(金属製)</t>
  </si>
  <si>
    <t>各事業有固-工具器具及び備品-工器備-家具・電気・ガス・家庭用品-その他のもの(その他)</t>
  </si>
  <si>
    <t>各事業有固-工具器具及び備品-工器備-事務・通信機器-謄写機器・タイプライター(印書業用)</t>
  </si>
  <si>
    <t>各事業有固-工具器具及び備品-工器備-事務・通信機器-謄写機器・タイプライター(その他)</t>
  </si>
  <si>
    <t>各事業有固-工具器具及び備品-工器備-事務・通信機器-電子計算機(PC(サーバ用を除く))</t>
  </si>
  <si>
    <t>各事業有固-工具器具及び備品-工器備-事務・通信機器-電子計算機(その他)</t>
  </si>
  <si>
    <t>各事業有固-工具器具及び備品-工器備-事務・通信機器-複写機・計算機・金銭登録機</t>
  </si>
  <si>
    <t>各事業有固-工具器具及び備品-工器備-事務・通信機器-その他の事務機器</t>
  </si>
  <si>
    <t>各事業有固-工具器具及び備品-工器備-事務・通信機器-テレタイプライター及びファクシミリ</t>
  </si>
  <si>
    <t>各事業有固-工具器具及び備品-工器備-事務・通信機器-インターホーン及び放送用設備</t>
  </si>
  <si>
    <t>各事業有固-工具器具及び備品-工器備-事務・通信機器-その他の通信機器(デジタル構内交換)</t>
  </si>
  <si>
    <t>各事業有固-工具器具及び備品-工器備-事務・通信機器-その他の通信機器(その他のもの)</t>
  </si>
  <si>
    <t>各事業有固-工具器具及び備品-工器備-時計、試験機器及び測定機器-時計</t>
  </si>
  <si>
    <t>各事業有固-工具器具及び備品-工器備-時計、試験機器及び測定機器-度量衝器</t>
  </si>
  <si>
    <t>各事業有固-工具器具及び備品-工器備-時計、試験機器及び測定機器-試験又は測定機器</t>
  </si>
  <si>
    <t>各事業有固-工具器具及び備品-工器備-光学・写真製作機器-オペラグラス</t>
  </si>
  <si>
    <t>各事業有固-工具器具及び備品-工器備-光学・写真製作機器-カメラ、映画撮影機、映写機</t>
  </si>
  <si>
    <t>各事業有固-工具器具及び備品-工器備-光学・写真製作機器-その他の機器</t>
  </si>
  <si>
    <t>各事業有固-工具器具及び備品-工器備-看板・広告機器-看板、ネオンサイン及び気球</t>
  </si>
  <si>
    <t>各事業有固-工具器具及び備品-工器備-看板・広告機器-マネキン人形及び模型</t>
  </si>
  <si>
    <t>各事業有固-工具器具及び備品-工器備-看板・広告機器-その他のもの(主として金属製のもの)</t>
  </si>
  <si>
    <t>各事業有固-工具器具及び備品-工器備-看板・広告機器-その他のもの(その他のもの)</t>
  </si>
  <si>
    <t>各事業有固-工具器具及び備品-工器備-容器・金庫-ボンベ(溶接製のもの</t>
  </si>
  <si>
    <t>各事業有固-工具器具及び備品-工器備-容器・金庫-ボンベ(鍛造製)(塩素用のもの)</t>
  </si>
  <si>
    <t>各事業有固-工具器具及び備品-工器備-容器・金庫-ボンベ(鍛造製)(その他のもの)</t>
  </si>
  <si>
    <t>各事業有固-工具器具及び備品-工器備-容器・金庫-その他容器(コンテナ(長さが6m以上))</t>
  </si>
  <si>
    <t>各事業有固-工具器具及び備品-工器備-容器・金庫-その他の容器(金属製のもの)</t>
  </si>
  <si>
    <t>各事業有固-工具器具及び備品-工器備-容器・金庫-その他の容器(その他のもの)</t>
  </si>
  <si>
    <t>各事業有固-工具器具及び備品-工器備-容器・金庫-金庫(手さげ金庫)</t>
  </si>
  <si>
    <t>各事業有固-工具器具及び備品-工器備-容器・金庫-金庫(その他のもの)</t>
  </si>
  <si>
    <t>各事業有固-工具器具及び備品-工器備-医療機器-消毒殺菌用機器</t>
  </si>
  <si>
    <t>各事業有固-工具器具及び備品-工器備-医療機器-手術機器</t>
  </si>
  <si>
    <t>各事業有固-工具器具及び備品-工器備-医療機器-血液透析又は血しょう交換用機器</t>
  </si>
  <si>
    <t>各事業有固-工具器具及び備品-工器備-医療機器-その他の作動部分を有する機能回復訓練機器</t>
  </si>
  <si>
    <t>各事業有固-工具器具及び備品-工器備-医療機器-調剤機器</t>
  </si>
  <si>
    <t>各事業有固-工具器具及び備品-工器備-医療機器-歯科診療用ユニット</t>
  </si>
  <si>
    <t>各事業有固-工具器具及び備品-工器備-医療機器-光学検査機器(ファイバースコープ)</t>
  </si>
  <si>
    <t>各事業有固-工具器具及び備品-工器備-医療機器-光学検査機器(その他のもの)</t>
  </si>
  <si>
    <t>各事業有固-工具器具及び備品-工器備-医療機器-その他の電子装置を使用する機器(移動式)</t>
  </si>
  <si>
    <t>各事業有固-工具器具及び備品-工器備-医療機器-その他の電子装置を使用する機器(その他)</t>
  </si>
  <si>
    <t>各事業有固-工具器具及び備品-工器備-医療機器-その他のもの(陶磁器製又はガラス製のもの)</t>
  </si>
  <si>
    <t>各事業有固-工具器具及び備品-工器備-医療機器-その他のもの(主として金属製のもの)</t>
  </si>
  <si>
    <t>各事業有固-工具器具及び備品-工器備-医療機器-その他のもの(その他のもの)</t>
  </si>
  <si>
    <t>各事業有固-工具器具及び備品-工器備-前掲以外-映画フイルム・磁気テープ・レコード</t>
  </si>
  <si>
    <t>各事業有固-工具器具及び備品-工器備-前掲以外-シート及びロープ</t>
  </si>
  <si>
    <t>各事業有固-工具器具及び備品-工器備-前掲以外-きのこ栽培用ほだ木</t>
  </si>
  <si>
    <t>各事業有固-工具器具及び備品-工器備-前掲以外-漁具</t>
  </si>
  <si>
    <t>各事業有固-工具器具及び備品-工器備-前掲以外-葬儀用具</t>
  </si>
  <si>
    <t>各事業有固-工具器具及び備品-工器備-前掲以外-楽器</t>
  </si>
  <si>
    <t>各事業有固-工具器具及び備品-工器備-前掲以外-自動販売機(手動のものを含む。)</t>
  </si>
  <si>
    <t>各事業有固-工具器具及び備品-工器備-前掲以外-無人駐車管理装置</t>
  </si>
  <si>
    <t>各事業有固-工具器具及び備品-工器備-前掲以外-焼却炉</t>
  </si>
  <si>
    <t>各事業有固-工具器具及び備品-工器備-前掲以外-その他のもの(主として金属製のもの)</t>
  </si>
  <si>
    <t>各事業有固-工具器具及び備品-工器備-前掲以外-その他のもの(その他のもの)</t>
  </si>
  <si>
    <t>各事業有固-工具器具及び備品-運搬具-前掲以外-自動車-小型車(総排気量が0.66l以下)</t>
  </si>
  <si>
    <t>各事業有固-工具器具及び備品-運搬具-前掲以外-自動車-その他-貨物自動車-ダンプ式のもの</t>
  </si>
  <si>
    <t>各事業有固-工具器具及び備品-運搬具-前掲以外-自動車-その他-貨物自動車-その他のもの</t>
  </si>
  <si>
    <t>各事業有固-工具器具及び備品-運搬具-前掲以外-自動車-その他-報道通信用のもの</t>
  </si>
  <si>
    <t>各事業有固-工具器具及び備品-運搬具-前掲以外-自動車-その他-その他</t>
  </si>
  <si>
    <t>各事業有固-工具器具及び備品-運搬具-前掲以外-２輪又は３輪自動車</t>
  </si>
  <si>
    <t>各事業有固-工具器具及び備品-運搬具-前掲以外-自転車</t>
  </si>
  <si>
    <t>各事業有固-工具器具及び備品-運搬具-前掲以外-鉱山用人車、炭車、鉱車及び台車-金属製</t>
  </si>
  <si>
    <t>各事業有固-工具器具及び備品-運搬具-前掲以外-鉱山用人車、炭車、鉱車及び台車-その他</t>
  </si>
  <si>
    <t>各事業有固-工具器具及び備品-運搬具-前掲以外-フォークリフト</t>
  </si>
  <si>
    <t>各事業有固-工具器具及び備品-運搬具-前掲以外-トロッコ-金属製のもの</t>
  </si>
  <si>
    <t>各事業有固-工具器具及び備品-運搬具-前掲以外-トロッコ-その他のもの</t>
  </si>
  <si>
    <t>各事業有固-工具器具及び備品-運搬具-前掲以外-その他のもの-自走能力を有するもの</t>
  </si>
  <si>
    <t>各事業有固-工具器具及び備品-運搬具-前掲以外-その他のもの-その他のもの</t>
  </si>
  <si>
    <t>各事業有固-リース資産-土地</t>
  </si>
  <si>
    <t>各事業有固-リース資産-建物</t>
  </si>
  <si>
    <t>各事業有固-リース資産-構築物</t>
  </si>
  <si>
    <t>各事業有固-リース資産-車両</t>
  </si>
  <si>
    <t>各事業有固-リース資産-機械装置</t>
  </si>
  <si>
    <t>各事業有固-リース資産-工具器具及び備品</t>
  </si>
  <si>
    <t>各事業有固-雑施設</t>
  </si>
  <si>
    <t>A0100001</t>
  </si>
  <si>
    <t>鉄道無固-のれん</t>
  </si>
  <si>
    <t>A0500001</t>
  </si>
  <si>
    <t>鉄道無固-借地権</t>
  </si>
  <si>
    <t>A1000001</t>
  </si>
  <si>
    <t>鉄道無固-地上権</t>
  </si>
  <si>
    <t>A1500001</t>
  </si>
  <si>
    <t>鉄道無固-商標権</t>
  </si>
  <si>
    <t>A2000001</t>
  </si>
  <si>
    <t>鉄道無固-電話加入権</t>
  </si>
  <si>
    <t>A2500001</t>
  </si>
  <si>
    <t>鉄道無固-特許権</t>
  </si>
  <si>
    <t>A3000001</t>
  </si>
  <si>
    <t>鉄道無固-連絡通行施設利用権</t>
  </si>
  <si>
    <t>A3500001</t>
  </si>
  <si>
    <t>鉄道無固-電話施設利用権</t>
  </si>
  <si>
    <t>A4000001</t>
  </si>
  <si>
    <t>鉄道無固-電気供給施設利用権</t>
  </si>
  <si>
    <t>A4500001</t>
  </si>
  <si>
    <t>鉄道無固-ガス供給施設利用権</t>
  </si>
  <si>
    <t>A5000001</t>
  </si>
  <si>
    <t>鉄道無固-熱供給施設利用権</t>
  </si>
  <si>
    <t>A5500001</t>
  </si>
  <si>
    <t>鉄道無固-水道施設利用権</t>
  </si>
  <si>
    <t>A6000001</t>
  </si>
  <si>
    <t>鉄道無固-温泉利用権</t>
  </si>
  <si>
    <t>A6500001</t>
  </si>
  <si>
    <t>鉄道無固-水利権</t>
  </si>
  <si>
    <t>A7000001</t>
  </si>
  <si>
    <t>鉄道無固-ソフトウェア-販売目的</t>
  </si>
  <si>
    <t>A7000002</t>
  </si>
  <si>
    <t>鉄道無固-ソフトウェア-その他</t>
  </si>
  <si>
    <t>A7500001</t>
  </si>
  <si>
    <t>鉄道無固-リース資産</t>
  </si>
  <si>
    <t>A9900001</t>
  </si>
  <si>
    <t>鉄道無固-その他の施設利用権</t>
  </si>
  <si>
    <t>B0100001</t>
  </si>
  <si>
    <t>広告無固-のれん</t>
  </si>
  <si>
    <t>B0500001</t>
  </si>
  <si>
    <t>広告無固-借地権</t>
  </si>
  <si>
    <t>B1000001</t>
  </si>
  <si>
    <t>広告無固-地上権</t>
  </si>
  <si>
    <t>B1500001</t>
  </si>
  <si>
    <t>広告無固-商標権</t>
  </si>
  <si>
    <t>B2000001</t>
  </si>
  <si>
    <t>広告無固-電話加入権</t>
  </si>
  <si>
    <t>B2500001</t>
  </si>
  <si>
    <t>広告無固-特許権</t>
  </si>
  <si>
    <t>B3000001</t>
  </si>
  <si>
    <t>広告無固-連絡通行施設利用権</t>
  </si>
  <si>
    <t>B3500001</t>
  </si>
  <si>
    <t>広告無固-電話施設利用権</t>
  </si>
  <si>
    <t>B4000001</t>
  </si>
  <si>
    <t>広告無固-電気供給施設利用権</t>
  </si>
  <si>
    <t>B4500001</t>
  </si>
  <si>
    <t>広告無固-ガス供給施設利用権</t>
  </si>
  <si>
    <t>B5000001</t>
  </si>
  <si>
    <t>広告無固-熱供給施設利用権</t>
  </si>
  <si>
    <t>B5500001</t>
  </si>
  <si>
    <t>広告無固-水道施設利用権</t>
  </si>
  <si>
    <t>B6000001</t>
  </si>
  <si>
    <t>広告無固-温泉利用権</t>
  </si>
  <si>
    <t>B6500001</t>
  </si>
  <si>
    <t>広告無固-水利権</t>
  </si>
  <si>
    <t>B7000001</t>
  </si>
  <si>
    <t>広告無固-ソフトウェア-販売目的</t>
  </si>
  <si>
    <t>B7000002</t>
  </si>
  <si>
    <t>広告無固-ソフトウェア-その他</t>
  </si>
  <si>
    <t>B7500001</t>
  </si>
  <si>
    <t>広告無固-リース資産</t>
  </si>
  <si>
    <t>B9900001</t>
  </si>
  <si>
    <t>広告無固-その他の施設利用権</t>
  </si>
  <si>
    <t>C0100001</t>
  </si>
  <si>
    <t>不動産無固-のれん</t>
  </si>
  <si>
    <t>C0500001</t>
  </si>
  <si>
    <t>不動産無固-借地権</t>
  </si>
  <si>
    <t>C1000001</t>
  </si>
  <si>
    <t>不動産無固-地上権</t>
  </si>
  <si>
    <t>C1500001</t>
  </si>
  <si>
    <t>不動産無固-商標権</t>
  </si>
  <si>
    <t>C2000001</t>
  </si>
  <si>
    <t>不動産無固-電話加入権</t>
  </si>
  <si>
    <t>C2500001</t>
  </si>
  <si>
    <t>不動産無固-特許権</t>
  </si>
  <si>
    <t>C3000001</t>
  </si>
  <si>
    <t>不動産無固-連絡通行施設利用権</t>
  </si>
  <si>
    <t>C3500001</t>
  </si>
  <si>
    <t>不動産無固-電話施設利用権</t>
  </si>
  <si>
    <t>C4000001</t>
  </si>
  <si>
    <t>不動産無固-電気供給施設利用権</t>
  </si>
  <si>
    <t>C4500001</t>
  </si>
  <si>
    <t>不動産無固-ガス供給施設利用権</t>
  </si>
  <si>
    <t>C5000001</t>
  </si>
  <si>
    <t>不動産無固-熱供給施設利用権</t>
  </si>
  <si>
    <t>C5500001</t>
  </si>
  <si>
    <t>不動産無固-水道施設利用権</t>
  </si>
  <si>
    <t>C6000001</t>
  </si>
  <si>
    <t>不動産無固-温泉利用権</t>
  </si>
  <si>
    <t>C6500001</t>
  </si>
  <si>
    <t>不動産無固-水利権</t>
  </si>
  <si>
    <t>C7000001</t>
  </si>
  <si>
    <t>不動産無固-ソフトウェア-販売目的</t>
  </si>
  <si>
    <t>C7000002</t>
  </si>
  <si>
    <t>不動産無固-ソフトウェア-その他</t>
  </si>
  <si>
    <t>C7500001</t>
  </si>
  <si>
    <t>不動産無固-リース資産</t>
  </si>
  <si>
    <t>C9900001</t>
  </si>
  <si>
    <t>不動産無固-その他の施設利用権</t>
  </si>
  <si>
    <t>D0100001</t>
  </si>
  <si>
    <t>流通無固-のれん</t>
  </si>
  <si>
    <t>D0500001</t>
  </si>
  <si>
    <t>流通無固-借地権</t>
  </si>
  <si>
    <t>D1000001</t>
  </si>
  <si>
    <t>流通無固-地上権</t>
  </si>
  <si>
    <t>D1500001</t>
  </si>
  <si>
    <t>流通無固-商標権</t>
  </si>
  <si>
    <t>D2000001</t>
  </si>
  <si>
    <t>流通無固-電話加入権</t>
  </si>
  <si>
    <t>D2500001</t>
  </si>
  <si>
    <t>流通無固-特許権</t>
  </si>
  <si>
    <t>D3000001</t>
  </si>
  <si>
    <t>流通無固-連絡通行施設利用権</t>
  </si>
  <si>
    <t>D3500001</t>
  </si>
  <si>
    <t>流通無固-電話施設利用権</t>
  </si>
  <si>
    <t>D4000001</t>
  </si>
  <si>
    <t>流通無固-電気供給施設利用権</t>
  </si>
  <si>
    <t>D4500001</t>
  </si>
  <si>
    <t>流通無固-ガス供給施設利用権</t>
  </si>
  <si>
    <t>D5000001</t>
  </si>
  <si>
    <t>流通無固-熱供給施設利用権</t>
  </si>
  <si>
    <t>D5500001</t>
  </si>
  <si>
    <t>流通無固-水道施設利用権</t>
  </si>
  <si>
    <t>D6000001</t>
  </si>
  <si>
    <t>流通無固-温泉利用権</t>
  </si>
  <si>
    <t>D6500001</t>
  </si>
  <si>
    <t>流通無固-水利権</t>
  </si>
  <si>
    <t>D7000001</t>
  </si>
  <si>
    <t>流通無固-ソフトウェア-販売目的</t>
  </si>
  <si>
    <t>D7000002</t>
  </si>
  <si>
    <t>流通無固-ソフトウェア-その他</t>
  </si>
  <si>
    <t>D7500001</t>
  </si>
  <si>
    <t>流通無固-リース資産</t>
  </si>
  <si>
    <t>D9900001</t>
  </si>
  <si>
    <t>流通無固-その他の施設利用権</t>
  </si>
  <si>
    <t>E0100001</t>
  </si>
  <si>
    <t>サービス無固-のれん</t>
  </si>
  <si>
    <t>E0500001</t>
  </si>
  <si>
    <t>サービス無固-借地権</t>
  </si>
  <si>
    <t>E1000001</t>
  </si>
  <si>
    <t>サービス無固-地上権</t>
  </si>
  <si>
    <t>E1500001</t>
  </si>
  <si>
    <t>サービス無固-商標権</t>
  </si>
  <si>
    <t>E2000001</t>
  </si>
  <si>
    <t>サービス無固-電話加入権</t>
  </si>
  <si>
    <t>E2500001</t>
  </si>
  <si>
    <t>サービス無固-特許権</t>
  </si>
  <si>
    <t>E3000001</t>
  </si>
  <si>
    <t>サービス無固-連絡通行施設利用権</t>
  </si>
  <si>
    <t>E3500001</t>
  </si>
  <si>
    <t>サービス無固-電話施設利用権</t>
  </si>
  <si>
    <t>E4000001</t>
  </si>
  <si>
    <t>サービス無固-電気供給施設利用権</t>
  </si>
  <si>
    <t>E4500001</t>
  </si>
  <si>
    <t>サービス無固-ガス供給施設利用権</t>
  </si>
  <si>
    <t>E5000001</t>
  </si>
  <si>
    <t>サービス無固-熱供給施設利用権</t>
  </si>
  <si>
    <t>E5500001</t>
  </si>
  <si>
    <t>サービス無固-水道施設利用権</t>
  </si>
  <si>
    <t>E6000001</t>
  </si>
  <si>
    <t>サービス無固-温泉利用権</t>
  </si>
  <si>
    <t>E6500001</t>
  </si>
  <si>
    <t>サービス無固-水利権</t>
  </si>
  <si>
    <t>E7000001</t>
  </si>
  <si>
    <t>サービス無固-ソフトウェア-販売目的</t>
  </si>
  <si>
    <t>E7000002</t>
  </si>
  <si>
    <t>サービス無固-ソフトウェア-その他</t>
  </si>
  <si>
    <t>E7500001</t>
  </si>
  <si>
    <t>サービス無固-リース資産</t>
  </si>
  <si>
    <t>E9900001</t>
  </si>
  <si>
    <t>サービス無固-その他の施設利用権</t>
  </si>
  <si>
    <t>F0100001</t>
  </si>
  <si>
    <t>各事業無固-のれん</t>
  </si>
  <si>
    <t>F0500001</t>
  </si>
  <si>
    <t>F1000001</t>
  </si>
  <si>
    <t>F1500001</t>
  </si>
  <si>
    <t>F2000001</t>
  </si>
  <si>
    <t>各事業無固-電話加入権</t>
  </si>
  <si>
    <t>F2500001</t>
  </si>
  <si>
    <t>各事業無固-特許権</t>
  </si>
  <si>
    <t>F3000001</t>
  </si>
  <si>
    <t>各事業無固-連絡通行施設利用権</t>
  </si>
  <si>
    <t>F3500001</t>
  </si>
  <si>
    <t>各事業無固-電話施設利用権</t>
  </si>
  <si>
    <t>F4000001</t>
  </si>
  <si>
    <t>各事業無固-電気供給施設利用権</t>
  </si>
  <si>
    <t>F4500001</t>
  </si>
  <si>
    <t>各事業無固-ガス供給施設利用権</t>
  </si>
  <si>
    <t>F5000001</t>
  </si>
  <si>
    <t>各事業無固-熱供給施設利用権</t>
  </si>
  <si>
    <t>F5500001</t>
  </si>
  <si>
    <t>各事業無固-水道施設利用権</t>
  </si>
  <si>
    <t>F6000001</t>
  </si>
  <si>
    <t>各事業無固-温泉利用権</t>
  </si>
  <si>
    <t>F6500001</t>
  </si>
  <si>
    <t>各事業無固-水利権</t>
  </si>
  <si>
    <t>F7000001</t>
  </si>
  <si>
    <t>各事業無固-ソフトウェア-販売目的</t>
  </si>
  <si>
    <t>F7000002</t>
  </si>
  <si>
    <t>各事業無固-ソフトウェア-その他</t>
  </si>
  <si>
    <t>F7500001</t>
  </si>
  <si>
    <t>各事業無固-リース資産</t>
  </si>
  <si>
    <t>F9900001</t>
  </si>
  <si>
    <t>各事業無固-その他の施設利用権</t>
  </si>
  <si>
    <t>第２階層ｺｰﾄﾞ</t>
    <rPh sb="0" eb="1">
      <t>ダイ</t>
    </rPh>
    <rPh sb="2" eb="4">
      <t>カイソウ</t>
    </rPh>
    <phoneticPr fontId="2"/>
  </si>
  <si>
    <t>既発注金額</t>
    <rPh sb="0" eb="1">
      <t>キ</t>
    </rPh>
    <rPh sb="1" eb="3">
      <t>ハッチュウ</t>
    </rPh>
    <rPh sb="3" eb="5">
      <t>キンガク</t>
    </rPh>
    <phoneticPr fontId="2"/>
  </si>
  <si>
    <t>今回変更金額</t>
    <rPh sb="0" eb="2">
      <t>コンカイ</t>
    </rPh>
    <rPh sb="2" eb="4">
      <t>ヘンコウ</t>
    </rPh>
    <rPh sb="4" eb="6">
      <t>キンガク</t>
    </rPh>
    <phoneticPr fontId="2"/>
  </si>
  <si>
    <t>コード</t>
  </si>
  <si>
    <t>名称</t>
    <rPh sb="0" eb="2">
      <t>メイショウ</t>
    </rPh>
    <phoneticPr fontId="5"/>
  </si>
  <si>
    <t>鉄有固-構築物-橋りょう-その他のもの</t>
    <rPh sb="2" eb="3">
      <t>カタム</t>
    </rPh>
    <rPh sb="15" eb="16">
      <t>タ</t>
    </rPh>
    <phoneticPr fontId="1"/>
  </si>
  <si>
    <t>鉄有固-構築物-高架橋-鉄骨造り</t>
    <rPh sb="12" eb="14">
      <t>テッコツ</t>
    </rPh>
    <phoneticPr fontId="1"/>
  </si>
  <si>
    <t>鉄有固-構築物-高架橋-その他のもの</t>
    <rPh sb="8" eb="11">
      <t>コウカキョウ</t>
    </rPh>
    <rPh sb="14" eb="15">
      <t>タ</t>
    </rPh>
    <phoneticPr fontId="1"/>
  </si>
  <si>
    <t>鉄有固-構築物-トンネル-その他のもの</t>
    <rPh sb="15" eb="16">
      <t>タ</t>
    </rPh>
    <phoneticPr fontId="1"/>
  </si>
  <si>
    <t>鉄有固-構築物-線路諸設備-防護設備</t>
    <rPh sb="0" eb="1">
      <t>テツ</t>
    </rPh>
    <rPh sb="1" eb="2">
      <t>ユウ</t>
    </rPh>
    <rPh sb="2" eb="3">
      <t>カタム</t>
    </rPh>
    <rPh sb="14" eb="16">
      <t>ボウゴ</t>
    </rPh>
    <phoneticPr fontId="1"/>
  </si>
  <si>
    <t>鉄有固-構築物-線路諸設備-さくがき</t>
    <rPh sb="0" eb="1">
      <t>テツ</t>
    </rPh>
    <rPh sb="1" eb="2">
      <t>ユウ</t>
    </rPh>
    <rPh sb="2" eb="3">
      <t>カタム</t>
    </rPh>
    <phoneticPr fontId="1"/>
  </si>
  <si>
    <t>鉄有固-構築物-線路諸設備-雑設備</t>
    <rPh sb="0" eb="1">
      <t>テツ</t>
    </rPh>
    <phoneticPr fontId="1"/>
  </si>
  <si>
    <t>鉄有固-構築物-雑設備</t>
  </si>
  <si>
    <t>鉄有固-構築物-車庫工場-舗装道路・舗装路面-コンクリート敷、ブロック敷・煉瓦敷・石敷</t>
  </si>
  <si>
    <t>鉄有固-構築物-車庫工場-舗装道路・舗装路面-アスファルト敷又は木れんが敷のもの</t>
  </si>
  <si>
    <t>鉄有固-構築物-車庫工場-舗装道路・舗装路面-ビチュ－マルス敷のもの</t>
  </si>
  <si>
    <t>鉄有固-構築物-車庫工場-鉄骨鉄筋コンクリート造・鉄筋コンクリート造-へい</t>
  </si>
  <si>
    <t>鉄有固-構築物-車庫工場-鉄骨鉄筋コンクリート造・鉄筋コンクリート造-その他のもの</t>
  </si>
  <si>
    <t>鉄有固-構築物-車庫工場-コンクリート造・コンクリートブロック造-へい</t>
  </si>
  <si>
    <t>鉄有固-構築物-車庫工場-コンクリート造・コンクリートブロック造-その他のもの</t>
  </si>
  <si>
    <t>鉄有固-構築物-車庫工場-金属造-へい</t>
  </si>
  <si>
    <t>鉄有固-構築物-車庫工場-金属造-その他のもの</t>
  </si>
  <si>
    <t>鉄有固-構築物-車庫工場-木造-へい</t>
  </si>
  <si>
    <t>鉄有固-構築物-車庫工場-木造-その他のもの</t>
  </si>
  <si>
    <t>鉄有固-構築物-変電所-舗装道路・舗装路面-コンクリート敷、ブロック敷・煉瓦敷・石敷</t>
  </si>
  <si>
    <t>鉄有固-構築物-変電所-舗装道路・舗装路面-アスファルト敷又は木れんが敷のもの</t>
  </si>
  <si>
    <t>鉄有固-構築物-変電所-舗装道路・舗装路面-ビチュ－マルス敷のもの</t>
  </si>
  <si>
    <t>鉄有固-構築物-変電所-鉄骨鉄筋コンクリート造・鉄筋コンクリート造-へい</t>
  </si>
  <si>
    <t>鉄有固-構築物-変電所-鉄骨鉄筋コンクリート造・鉄筋コンクリート造-その他のもの</t>
  </si>
  <si>
    <t>鉄有固-構築物-変電所-コンクリート造・コンクリートブロック造-へい</t>
  </si>
  <si>
    <t>鉄有固-構築物-変電所-コンクリート造・コンクリートブロック造-その他のもの</t>
  </si>
  <si>
    <t>鉄有固-構築物-変電所-金属造-へい</t>
  </si>
  <si>
    <t>鉄有固-構築物-変電所-金属造-その他のもの</t>
  </si>
  <si>
    <t>鉄有固-構築物-変電所-木造-へい</t>
  </si>
  <si>
    <t>鉄有固-構築物-変電所-木造-その他のもの</t>
  </si>
  <si>
    <t>鉄有固-構築物-雑構築物-舗装道路・舗装路面-コンクリート敷、ブロック敷・煉瓦敷・石敷</t>
  </si>
  <si>
    <t>鉄有固-構築物-雑構築物-舗装道路・舗装路面-アスファルト敷又は木れんが敷のもの</t>
  </si>
  <si>
    <t>鉄有固-構築物-雑構築物-舗装道路・舗装路面-ビチュ－マルス敷のもの</t>
  </si>
  <si>
    <t>鉄有固-構築物-雑構築物-鉄骨鉄筋コンクリート造・鉄筋コンクリート造-へい</t>
  </si>
  <si>
    <t>鉄有固-構築物-雑構築物-鉄骨鉄筋コンクリート造・鉄筋コンクリート造-その他のもの</t>
  </si>
  <si>
    <t>鉄有固-構築物-雑構築物-鉄骨鉄筋コンクリート造・鉄筋コンクリート造-上水道、水そう</t>
  </si>
  <si>
    <t>鉄有固-構築物-雑構築物-コンクリート造・コンクリートブロック造-へい</t>
  </si>
  <si>
    <t>鉄有固-構築物-雑構築物-コンクリート造・コンクリートブロック造-その他のもの</t>
  </si>
  <si>
    <t>鉄有固-構築物-雑構築物-金属造-へい</t>
  </si>
  <si>
    <t>鉄有固-構築物-雑構築物-金属造-その他のもの</t>
  </si>
  <si>
    <t>鉄有固-構築物-雑構築物-金属造-水そう及び油そう－鋼鉄製のもの</t>
  </si>
  <si>
    <t>鉄有固-構築物-雑構築物-金属造-焼却炉</t>
    <rPh sb="17" eb="20">
      <t>ショウキャクロ</t>
    </rPh>
    <phoneticPr fontId="1"/>
  </si>
  <si>
    <t>鉄有固-構築物-雑構築物-金属造-送配管-鋼鉄製</t>
  </si>
  <si>
    <t>鉄有固-構築物-雑構築物-木造-へい</t>
  </si>
  <si>
    <t>鉄有固-構築物-雑構築物-木造-その他のもの</t>
  </si>
  <si>
    <t>鉄有固-構築物-雑構築物-前掲以外のもの-その他のもの</t>
  </si>
  <si>
    <t>鉄有固-構築物-雑構築物-緑化施設及び庭園-その他のもの</t>
  </si>
  <si>
    <t>鉄有固-構築物-雑構築物-広告用のもの-その他のもの</t>
    <rPh sb="13" eb="16">
      <t>コウコクヨウ</t>
    </rPh>
    <phoneticPr fontId="1"/>
  </si>
  <si>
    <t>鉄有固-車両-予備品</t>
    <rPh sb="7" eb="10">
      <t>ヨビヒン</t>
    </rPh>
    <phoneticPr fontId="1"/>
  </si>
  <si>
    <t>鉄有固-工具器具及び備品-工器備-美術品(非償却)</t>
    <rPh sb="17" eb="19">
      <t>ビジュツ</t>
    </rPh>
    <rPh sb="19" eb="20">
      <t>ヒン</t>
    </rPh>
    <rPh sb="21" eb="22">
      <t>ヒ</t>
    </rPh>
    <rPh sb="22" eb="24">
      <t>ショウキャク</t>
    </rPh>
    <phoneticPr fontId="1"/>
  </si>
  <si>
    <t>鉄有固-工具器具及び備品-工器備-美術品-償却(主として金属製のもの)</t>
    <rPh sb="17" eb="19">
      <t>ビジュツ</t>
    </rPh>
    <rPh sb="19" eb="20">
      <t>ヒン</t>
    </rPh>
    <phoneticPr fontId="1"/>
  </si>
  <si>
    <t>鉄有固-工具器具及び備品-工器備-美術品-償却(その他のもの)</t>
    <rPh sb="17" eb="19">
      <t>ビジュツ</t>
    </rPh>
    <rPh sb="19" eb="20">
      <t>ヒン</t>
    </rPh>
    <phoneticPr fontId="1"/>
  </si>
  <si>
    <t>鉄有固-工具器具及び備品-運搬具-前掲以外-乗合自動車</t>
    <rPh sb="17" eb="19">
      <t>ゼンケイ</t>
    </rPh>
    <rPh sb="19" eb="21">
      <t>イガイ</t>
    </rPh>
    <rPh sb="22" eb="27">
      <t>ノリアイジドウシャ</t>
    </rPh>
    <phoneticPr fontId="1"/>
  </si>
  <si>
    <t>鉄有固-案内宣伝施設 建物-簡易建物(木製主要柱が10cm角以下で土居、杉皮ぶき等)-社宅・寮建物</t>
    <rPh sb="47" eb="49">
      <t>タテモノ</t>
    </rPh>
    <phoneticPr fontId="1"/>
  </si>
  <si>
    <t>建設仮勘定-広告事業-ソフトウェア</t>
    <rPh sb="6" eb="8">
      <t>コウコク</t>
    </rPh>
    <phoneticPr fontId="1"/>
  </si>
  <si>
    <t>建設仮勘定-各事業関連-直接費</t>
    <rPh sb="6" eb="9">
      <t>カクジギョウ</t>
    </rPh>
    <rPh sb="9" eb="11">
      <t>カンレン</t>
    </rPh>
    <rPh sb="12" eb="14">
      <t>チョクセツ</t>
    </rPh>
    <rPh sb="14" eb="15">
      <t>ヒ</t>
    </rPh>
    <phoneticPr fontId="1"/>
  </si>
  <si>
    <t>建設仮勘定-各事業関連-間接費</t>
    <rPh sb="6" eb="9">
      <t>カクジギョウ</t>
    </rPh>
    <rPh sb="9" eb="11">
      <t>カンレン</t>
    </rPh>
    <rPh sb="12" eb="14">
      <t>カンセツ</t>
    </rPh>
    <rPh sb="14" eb="15">
      <t>ヒ</t>
    </rPh>
    <phoneticPr fontId="1"/>
  </si>
  <si>
    <t>各事業有固-建物付属設備-電気設備(照明設備を含む。)-蓄電池電源設備-雑建物</t>
    <rPh sb="36" eb="37">
      <t>ザツ</t>
    </rPh>
    <rPh sb="37" eb="39">
      <t>タテモノ</t>
    </rPh>
    <phoneticPr fontId="1"/>
  </si>
  <si>
    <t>各事業有固-工具器具及び備品-工器備-美術品(非償却)</t>
    <rPh sb="19" eb="21">
      <t>ビジュツ</t>
    </rPh>
    <rPh sb="21" eb="22">
      <t>ヒン</t>
    </rPh>
    <rPh sb="23" eb="24">
      <t>ヒ</t>
    </rPh>
    <rPh sb="24" eb="26">
      <t>ショウキャク</t>
    </rPh>
    <phoneticPr fontId="1"/>
  </si>
  <si>
    <t>各事業有固-工具器具及び備品-工器備-美術品-償却(主として金属製のもの)</t>
    <rPh sb="19" eb="21">
      <t>ビジュツ</t>
    </rPh>
    <rPh sb="21" eb="22">
      <t>ヒン</t>
    </rPh>
    <phoneticPr fontId="1"/>
  </si>
  <si>
    <t>各事業有固-工具器具及び備品-工器備-美術品-償却(その他のもの)</t>
    <rPh sb="19" eb="21">
      <t>ビジュツ</t>
    </rPh>
    <rPh sb="21" eb="22">
      <t>ヒン</t>
    </rPh>
    <phoneticPr fontId="1"/>
  </si>
  <si>
    <t>各事業無固-借地権</t>
    <rPh sb="6" eb="8">
      <t>シャクチ</t>
    </rPh>
    <rPh sb="8" eb="9">
      <t>ケン</t>
    </rPh>
    <phoneticPr fontId="1"/>
  </si>
  <si>
    <t>各事業無固-地上権</t>
    <rPh sb="6" eb="9">
      <t>チジョウケン</t>
    </rPh>
    <phoneticPr fontId="1"/>
  </si>
  <si>
    <t>各事業無固-商標権</t>
    <rPh sb="6" eb="9">
      <t>ショウヒョウケン</t>
    </rPh>
    <phoneticPr fontId="1"/>
  </si>
  <si>
    <t>資産クラス</t>
    <rPh sb="0" eb="2">
      <t>シサン</t>
    </rPh>
    <phoneticPr fontId="2"/>
  </si>
  <si>
    <t>率算出共通仮設費</t>
    <rPh sb="0" eb="1">
      <t>リツ</t>
    </rPh>
    <rPh sb="1" eb="3">
      <t>サンシュツ</t>
    </rPh>
    <rPh sb="3" eb="5">
      <t>キョウツウ</t>
    </rPh>
    <rPh sb="5" eb="7">
      <t>カセツ</t>
    </rPh>
    <rPh sb="7" eb="8">
      <t>ヒ</t>
    </rPh>
    <phoneticPr fontId="2"/>
  </si>
  <si>
    <t>式</t>
    <rPh sb="0" eb="1">
      <t>シキ</t>
    </rPh>
    <phoneticPr fontId="2"/>
  </si>
  <si>
    <t>純工事費（×Ｒ）</t>
    <rPh sb="0" eb="1">
      <t>ジュン</t>
    </rPh>
    <rPh sb="1" eb="4">
      <t>コウジヒ</t>
    </rPh>
    <phoneticPr fontId="2"/>
  </si>
  <si>
    <t>変更工事価格（×Ｒ）</t>
    <rPh sb="0" eb="2">
      <t>ヘンコウ</t>
    </rPh>
    <rPh sb="2" eb="4">
      <t>コウジ</t>
    </rPh>
    <rPh sb="4" eb="6">
      <t>カカク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</si>
  <si>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</si>
  <si>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式</t>
    <phoneticPr fontId="2"/>
  </si>
  <si>
    <t>廃プラ</t>
    <phoneticPr fontId="2"/>
  </si>
  <si>
    <t>がれき</t>
    <phoneticPr fontId="2"/>
  </si>
  <si>
    <t>廃プラ
(ｱｽﾍﾞ)</t>
    <phoneticPr fontId="2"/>
  </si>
  <si>
    <t>□率算出共通仮設費</t>
    <rPh sb="1" eb="2">
      <t>リツ</t>
    </rPh>
    <rPh sb="2" eb="4">
      <t>サンシュツ</t>
    </rPh>
    <rPh sb="4" eb="6">
      <t>キョウツウ</t>
    </rPh>
    <rPh sb="6" eb="8">
      <t>カセツ</t>
    </rPh>
    <rPh sb="8" eb="9">
      <t>ヒ</t>
    </rPh>
    <phoneticPr fontId="2"/>
  </si>
  <si>
    <t>小々計</t>
    <rPh sb="0" eb="1">
      <t>ショウ</t>
    </rPh>
    <rPh sb="2" eb="3">
      <t>ケイ</t>
    </rPh>
    <phoneticPr fontId="2"/>
  </si>
  <si>
    <t>□積上げ共通仮設費</t>
    <rPh sb="1" eb="3">
      <t>ツミア</t>
    </rPh>
    <rPh sb="4" eb="6">
      <t>キョウツウ</t>
    </rPh>
    <rPh sb="6" eb="8">
      <t>カセツ</t>
    </rPh>
    <rPh sb="8" eb="9">
      <t>ヒ</t>
    </rPh>
    <phoneticPr fontId="2"/>
  </si>
  <si>
    <t>工事用電力電灯費</t>
    <rPh sb="0" eb="3">
      <t>コウジヨウ</t>
    </rPh>
    <rPh sb="3" eb="5">
      <t>デンリョク</t>
    </rPh>
    <rPh sb="5" eb="7">
      <t>デントウ</t>
    </rPh>
    <rPh sb="7" eb="8">
      <t>ヒ</t>
    </rPh>
    <phoneticPr fontId="2"/>
  </si>
  <si>
    <t>工事用用水費</t>
    <rPh sb="0" eb="3">
      <t>コウジヨウ</t>
    </rPh>
    <rPh sb="3" eb="5">
      <t>ヨウスイ</t>
    </rPh>
    <rPh sb="5" eb="6">
      <t>ヒ</t>
    </rPh>
    <phoneticPr fontId="2"/>
  </si>
  <si>
    <t>機械器具費</t>
    <rPh sb="0" eb="2">
      <t>キカイ</t>
    </rPh>
    <rPh sb="2" eb="4">
      <t>キグ</t>
    </rPh>
    <rPh sb="4" eb="5">
      <t>ヒ</t>
    </rPh>
    <phoneticPr fontId="2"/>
  </si>
  <si>
    <t>周辺安全対策費</t>
    <rPh sb="0" eb="2">
      <t>シュウヘン</t>
    </rPh>
    <rPh sb="2" eb="4">
      <t>アンゼン</t>
    </rPh>
    <rPh sb="4" eb="7">
      <t>タイサクヒ</t>
    </rPh>
    <phoneticPr fontId="2"/>
  </si>
  <si>
    <t>仮囲い</t>
    <rPh sb="0" eb="1">
      <t>カリ</t>
    </rPh>
    <rPh sb="1" eb="2">
      <t>カコ</t>
    </rPh>
    <phoneticPr fontId="2"/>
  </si>
  <si>
    <t>試験調査費</t>
    <rPh sb="0" eb="2">
      <t>シケン</t>
    </rPh>
    <rPh sb="2" eb="5">
      <t>チョウサヒ</t>
    </rPh>
    <phoneticPr fontId="2"/>
  </si>
  <si>
    <t>共通仮設材運搬費</t>
    <rPh sb="0" eb="2">
      <t>キョウツウ</t>
    </rPh>
    <rPh sb="2" eb="4">
      <t>カセツ</t>
    </rPh>
    <rPh sb="4" eb="5">
      <t>ザイ</t>
    </rPh>
    <rPh sb="5" eb="7">
      <t>ウンパン</t>
    </rPh>
    <rPh sb="7" eb="8">
      <t>ヒ</t>
    </rPh>
    <phoneticPr fontId="2"/>
  </si>
  <si>
    <t>警備員費</t>
    <rPh sb="0" eb="3">
      <t>ケイビイン</t>
    </rPh>
    <rPh sb="3" eb="4">
      <t>ヒ</t>
    </rPh>
    <phoneticPr fontId="2"/>
  </si>
  <si>
    <t>巡視員</t>
    <rPh sb="0" eb="3">
      <t>ジュンシイン</t>
    </rPh>
    <phoneticPr fontId="2"/>
  </si>
  <si>
    <t>小々計</t>
    <rPh sb="0" eb="2">
      <t>ショウショウ</t>
    </rPh>
    <rPh sb="2" eb="3">
      <t>ケイ</t>
    </rPh>
    <phoneticPr fontId="2"/>
  </si>
  <si>
    <t>資産クラス別変更工事価格×（Ｒ）</t>
    <rPh sb="0" eb="2">
      <t>シサン</t>
    </rPh>
    <rPh sb="5" eb="6">
      <t>ベツ</t>
    </rPh>
    <rPh sb="6" eb="8">
      <t>ヘンコウ</t>
    </rPh>
    <rPh sb="8" eb="10">
      <t>コウジ</t>
    </rPh>
    <rPh sb="10" eb="12">
      <t>カカク</t>
    </rPh>
    <phoneticPr fontId="2"/>
  </si>
  <si>
    <t>建物　変更工事価格×（Ｒ）　計</t>
    <rPh sb="0" eb="2">
      <t>タテモノ</t>
    </rPh>
    <rPh sb="3" eb="5">
      <t>ヘンコウ</t>
    </rPh>
    <rPh sb="5" eb="7">
      <t>コウジ</t>
    </rPh>
    <rPh sb="7" eb="9">
      <t>カカク</t>
    </rPh>
    <rPh sb="14" eb="15">
      <t>ケイ</t>
    </rPh>
    <phoneticPr fontId="2"/>
  </si>
  <si>
    <t>構築物　変更工事価格×（Ｒ）　計</t>
    <rPh sb="0" eb="3">
      <t>コウチクブツ</t>
    </rPh>
    <rPh sb="4" eb="6">
      <t>ヘンコウ</t>
    </rPh>
    <rPh sb="6" eb="8">
      <t>コウジ</t>
    </rPh>
    <rPh sb="8" eb="10">
      <t>カカク</t>
    </rPh>
    <rPh sb="15" eb="16">
      <t>ケイ</t>
    </rPh>
    <phoneticPr fontId="2"/>
  </si>
  <si>
    <t>工具・器具・備品　変更工事価格（Ｒ）　計</t>
    <rPh sb="0" eb="2">
      <t>コウグ</t>
    </rPh>
    <rPh sb="3" eb="5">
      <t>キグ</t>
    </rPh>
    <rPh sb="6" eb="8">
      <t>ビヒン</t>
    </rPh>
    <rPh sb="9" eb="11">
      <t>ヘンコウ</t>
    </rPh>
    <rPh sb="11" eb="13">
      <t>コウジ</t>
    </rPh>
    <rPh sb="13" eb="15">
      <t>カカク</t>
    </rPh>
    <rPh sb="19" eb="20">
      <t>ケイ</t>
    </rPh>
    <phoneticPr fontId="2"/>
  </si>
  <si>
    <t>部分撤去工事のうち、資産計上した変更工事価格×（Ｒ）</t>
    <rPh sb="10" eb="12">
      <t>シサン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</si>
  <si>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部分撤去工事のうち、費用計上した変更工事価格×（Ｒ）</t>
    <rPh sb="10" eb="12">
      <t>ヒヨウ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</si>
  <si>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資産計上区分の中で、費用として計上した変更工事価格（部分撤去工事を除く）×（Ｒ）</t>
    <rPh sb="10" eb="12">
      <t>ヒヨウ</t>
    </rPh>
    <rPh sb="15" eb="17">
      <t>ケイジョウ</t>
    </rPh>
    <rPh sb="19" eb="21">
      <t>ヘンコウ</t>
    </rPh>
    <rPh sb="21" eb="23">
      <t>コウジ</t>
    </rPh>
    <rPh sb="23" eb="25">
      <t>カカク</t>
    </rPh>
    <rPh sb="26" eb="28">
      <t>ブブン</t>
    </rPh>
    <rPh sb="28" eb="30">
      <t>テッキョ</t>
    </rPh>
    <rPh sb="30" eb="32">
      <t>コウジ</t>
    </rPh>
    <rPh sb="33" eb="34">
      <t>ノゾ</t>
    </rPh>
    <phoneticPr fontId="2"/>
  </si>
  <si>
    <t>費用計上した変更工事価格×（Ｒ）</t>
    <rPh sb="0" eb="2">
      <t>ヒヨウ</t>
    </rPh>
    <rPh sb="2" eb="4">
      <t>ケイジョウ</t>
    </rPh>
    <rPh sb="6" eb="8">
      <t>ヘンコウ</t>
    </rPh>
    <rPh sb="8" eb="10">
      <t>コウジ</t>
    </rPh>
    <rPh sb="10" eb="12">
      <t>カカク</t>
    </rPh>
    <phoneticPr fontId="2"/>
  </si>
  <si>
    <t>内訳書起案日</t>
    <rPh sb="0" eb="3">
      <t>ウチワケショ</t>
    </rPh>
    <rPh sb="3" eb="5">
      <t>キアン</t>
    </rPh>
    <rPh sb="5" eb="6">
      <t>ビ</t>
    </rPh>
    <phoneticPr fontId="2"/>
  </si>
  <si>
    <t>元設計当社単価</t>
    <rPh sb="0" eb="1">
      <t>モト</t>
    </rPh>
    <rPh sb="1" eb="3">
      <t>セッケイ</t>
    </rPh>
    <rPh sb="3" eb="5">
      <t>トウシャ</t>
    </rPh>
    <rPh sb="5" eb="7">
      <t>タンカ</t>
    </rPh>
    <phoneticPr fontId="2"/>
  </si>
  <si>
    <t>落札率</t>
    <rPh sb="0" eb="2">
      <t>ラクサツ</t>
    </rPh>
    <rPh sb="2" eb="3">
      <t>リツ</t>
    </rPh>
    <phoneticPr fontId="2"/>
  </si>
  <si>
    <t>資産クラス分割表</t>
    <rPh sb="0" eb="2">
      <t>シサン</t>
    </rPh>
    <rPh sb="5" eb="7">
      <t>ブンカツ</t>
    </rPh>
    <rPh sb="7" eb="8">
      <t>ヒョウ</t>
    </rPh>
    <phoneticPr fontId="2"/>
  </si>
  <si>
    <t>金属工事</t>
  </si>
  <si>
    <t>変更諸経費表</t>
    <phoneticPr fontId="2"/>
  </si>
  <si>
    <t>変更諸経費表2018【作成中】.xls</t>
    <phoneticPr fontId="2"/>
  </si>
  <si>
    <t>諸経費（×Ｒ）</t>
    <rPh sb="0" eb="3">
      <t>ショケイヒ</t>
    </rPh>
    <phoneticPr fontId="2"/>
  </si>
  <si>
    <t>変更諸経費表(専業)元</t>
    <phoneticPr fontId="2"/>
  </si>
  <si>
    <t>変更諸経費表(専業)改</t>
  </si>
  <si>
    <t>工事名称：</t>
  </si>
  <si>
    <t>P-1</t>
  </si>
  <si>
    <t>変更共通費集計表</t>
    <rPh sb="0" eb="2">
      <t>ヘンコウ</t>
    </rPh>
    <rPh sb="2" eb="4">
      <t>キョウツウ</t>
    </rPh>
    <rPh sb="4" eb="5">
      <t>ヒ</t>
    </rPh>
    <rPh sb="5" eb="8">
      <t>シュウケイヒョウ</t>
    </rPh>
    <phoneticPr fontId="2"/>
  </si>
  <si>
    <t>落札率：R＝＞</t>
    <rPh sb="0" eb="2">
      <t>ラクサツ</t>
    </rPh>
    <rPh sb="2" eb="3">
      <t>リツ</t>
    </rPh>
    <phoneticPr fontId="2"/>
  </si>
  <si>
    <t>合 計</t>
  </si>
  <si>
    <t>純工事費　合計</t>
    <rPh sb="0" eb="1">
      <t>ジュン</t>
    </rPh>
    <rPh sb="1" eb="4">
      <t>コウジヒ</t>
    </rPh>
    <rPh sb="5" eb="7">
      <t>ゴウケイ</t>
    </rPh>
    <phoneticPr fontId="2"/>
  </si>
  <si>
    <t>現場管理費、一般管理費等　合計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rPh sb="13" eb="15">
      <t>ゴウケイ</t>
    </rPh>
    <phoneticPr fontId="2"/>
  </si>
  <si>
    <t>（↓工期(Ｔ)の変更が有った場合は修正すること）</t>
    <rPh sb="2" eb="4">
      <t>コウキ</t>
    </rPh>
    <rPh sb="8" eb="10">
      <t>ヘンコウ</t>
    </rPh>
    <rPh sb="11" eb="12">
      <t>ア</t>
    </rPh>
    <rPh sb="14" eb="16">
      <t>バアイ</t>
    </rPh>
    <rPh sb="17" eb="19">
      <t>シュウセイ</t>
    </rPh>
    <phoneticPr fontId="2"/>
  </si>
  <si>
    <t>（△印は減額）</t>
  </si>
  <si>
    <t>工期（Ｔ）か月--&gt;</t>
    <rPh sb="0" eb="2">
      <t>コウキ</t>
    </rPh>
    <rPh sb="6" eb="7">
      <t>ゲツ</t>
    </rPh>
    <phoneticPr fontId="2"/>
  </si>
  <si>
    <t>既発注工事入力欄より---&gt;</t>
    <rPh sb="0" eb="1">
      <t>スデ</t>
    </rPh>
    <rPh sb="1" eb="3">
      <t>ハッチュウ</t>
    </rPh>
    <rPh sb="3" eb="5">
      <t>コウジ</t>
    </rPh>
    <rPh sb="5" eb="7">
      <t>ニュウリョク</t>
    </rPh>
    <rPh sb="7" eb="8">
      <t>ラン</t>
    </rPh>
    <phoneticPr fontId="2"/>
  </si>
  <si>
    <t>諸経費率--&gt;</t>
    <rPh sb="0" eb="3">
      <t>ショケイヒ</t>
    </rPh>
    <rPh sb="3" eb="4">
      <t>リツ</t>
    </rPh>
    <phoneticPr fontId="2"/>
  </si>
  <si>
    <t>共通仮設費　算出方法--&gt;</t>
    <phoneticPr fontId="2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</si>
  <si>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2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</si>
  <si>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2"/>
  </si>
  <si>
    <t>　純　　工　　事　　費　　　　合　　計</t>
    <phoneticPr fontId="2"/>
  </si>
  <si>
    <t>(直接工事費 直接仮設・別途算定を含む)</t>
    <rPh sb="12" eb="14">
      <t>ベット</t>
    </rPh>
    <rPh sb="14" eb="16">
      <t>サンテイ</t>
    </rPh>
    <phoneticPr fontId="2"/>
  </si>
  <si>
    <t>(共通仮設費) 総計</t>
    <rPh sb="8" eb="10">
      <t>ソウケイ</t>
    </rPh>
    <phoneticPr fontId="2"/>
  </si>
  <si>
    <t>内、率算出による総額</t>
    <rPh sb="8" eb="9">
      <t>ソウ</t>
    </rPh>
    <phoneticPr fontId="2"/>
  </si>
  <si>
    <t>調整対象額</t>
    <rPh sb="0" eb="2">
      <t>チョウセイ</t>
    </rPh>
    <rPh sb="2" eb="4">
      <t>タイショウ</t>
    </rPh>
    <rPh sb="4" eb="5">
      <t>ガク</t>
    </rPh>
    <phoneticPr fontId="2"/>
  </si>
  <si>
    <t>変更対象直接工事費</t>
    <rPh sb="0" eb="2">
      <t>ヘンコウ</t>
    </rPh>
    <rPh sb="2" eb="4">
      <t>タイショウ</t>
    </rPh>
    <rPh sb="4" eb="6">
      <t>チョクセツ</t>
    </rPh>
    <rPh sb="6" eb="9">
      <t>コウジヒ</t>
    </rPh>
    <phoneticPr fontId="2"/>
  </si>
  <si>
    <t>率対象共通仮設費調整額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phoneticPr fontId="2"/>
  </si>
  <si>
    <t>率対象共通仮設費調整額　端数調整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rPh sb="12" eb="14">
      <t>ハスウ</t>
    </rPh>
    <rPh sb="14" eb="16">
      <t>チョウセイ</t>
    </rPh>
    <phoneticPr fontId="2"/>
  </si>
  <si>
    <t>率対象共通仮設費改計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カイケイ</t>
    </rPh>
    <phoneticPr fontId="2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</si>
  <si>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2"/>
  </si>
  <si>
    <t>内、リース料、借地借家料</t>
    <rPh sb="0" eb="1">
      <t>ウチ</t>
    </rPh>
    <rPh sb="5" eb="6">
      <t>リョウ</t>
    </rPh>
    <rPh sb="7" eb="9">
      <t>シャクチ</t>
    </rPh>
    <rPh sb="9" eb="11">
      <t>シャクヤ</t>
    </rPh>
    <rPh sb="11" eb="12">
      <t>リョウ</t>
    </rPh>
    <phoneticPr fontId="2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</si>
  <si>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2"/>
  </si>
  <si>
    <t>一般・その他等  直接工事費</t>
    <rPh sb="9" eb="11">
      <t>チョクセツ</t>
    </rPh>
    <rPh sb="11" eb="13">
      <t>コウジ</t>
    </rPh>
    <rPh sb="13" eb="14">
      <t>ヒ</t>
    </rPh>
    <phoneticPr fontId="2"/>
  </si>
  <si>
    <t>標準</t>
    <phoneticPr fontId="2"/>
  </si>
  <si>
    <t>(1)新築一般建築工事</t>
  </si>
  <si>
    <t>(2)改修一般建築工事</t>
  </si>
  <si>
    <t>(3)新築主体工事の鉄骨工事(機械費含む)</t>
    <phoneticPr fontId="2"/>
  </si>
  <si>
    <t>(4)改修主体工事の鉄骨工事(機械費含む)</t>
    <rPh sb="15" eb="17">
      <t>キカイ</t>
    </rPh>
    <rPh sb="17" eb="18">
      <t>ヒ</t>
    </rPh>
    <rPh sb="18" eb="19">
      <t>フク</t>
    </rPh>
    <phoneticPr fontId="2"/>
  </si>
  <si>
    <t>そ　の　他　工　事</t>
    <rPh sb="4" eb="5">
      <t>タ</t>
    </rPh>
    <rPh sb="6" eb="9">
      <t>コウジ</t>
    </rPh>
    <phoneticPr fontId="2"/>
  </si>
  <si>
    <t>(5)造園工事、舗装工事(排水除く)</t>
    <phoneticPr fontId="2"/>
  </si>
  <si>
    <t>(6)とりこわし工事(部分撤去、処分費除く)</t>
    <rPh sb="11" eb="13">
      <t>ブブン</t>
    </rPh>
    <rPh sb="13" eb="15">
      <t>テッキョ</t>
    </rPh>
    <phoneticPr fontId="2"/>
  </si>
  <si>
    <t>(7)特殊な室内装備品工事</t>
  </si>
  <si>
    <t>　家具・流し・実験台</t>
    <phoneticPr fontId="2"/>
  </si>
  <si>
    <t>　黒板・書架・ｶｳﾝﾀｰ・ﾛｰﾊﾟｰﾃｨｯｼｮﾝ等</t>
  </si>
  <si>
    <t>(8)プレハブ工事</t>
  </si>
  <si>
    <t>(9)</t>
    <phoneticPr fontId="2"/>
  </si>
  <si>
    <t>(10)</t>
    <phoneticPr fontId="2"/>
  </si>
  <si>
    <t>(11)近隣家屋調査及び地質調査</t>
  </si>
  <si>
    <t>除　外</t>
    <rPh sb="0" eb="1">
      <t>ジョ</t>
    </rPh>
    <rPh sb="2" eb="3">
      <t>ガイ</t>
    </rPh>
    <phoneticPr fontId="2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</si>
  <si>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2"/>
  </si>
  <si>
    <t>(12)残材処分費及び残土処分費(共通仮設)</t>
    <rPh sb="17" eb="19">
      <t>キョウツウ</t>
    </rPh>
    <rPh sb="19" eb="21">
      <t>カセツ</t>
    </rPh>
    <phoneticPr fontId="2"/>
  </si>
  <si>
    <t>(14)リース料,借地借家料(共通仮設）</t>
    <rPh sb="15" eb="17">
      <t>キョウツウ</t>
    </rPh>
    <rPh sb="17" eb="19">
      <t>カセツ</t>
    </rPh>
    <phoneticPr fontId="2"/>
  </si>
  <si>
    <t>(14)リース料,借地借家料(直工費のみ）</t>
    <rPh sb="15" eb="16">
      <t>チョク</t>
    </rPh>
    <rPh sb="16" eb="17">
      <t>コウ</t>
    </rPh>
    <rPh sb="17" eb="18">
      <t>ヒ</t>
    </rPh>
    <phoneticPr fontId="2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</si>
  <si>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</si>
  <si>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</si>
  <si>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</si>
  <si>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現場管理費</t>
  </si>
  <si>
    <t>(3)新築主体工事の鉄骨工事</t>
  </si>
  <si>
    <t>(4)改修主体工事の鉄骨工事</t>
  </si>
  <si>
    <t>その他工事</t>
    <rPh sb="2" eb="3">
      <t>タ</t>
    </rPh>
    <rPh sb="3" eb="5">
      <t>コウジ</t>
    </rPh>
    <phoneticPr fontId="2"/>
  </si>
  <si>
    <t>(5)造園工事、舗装工事（排水除く）</t>
    <rPh sb="3" eb="5">
      <t>ゾウエン</t>
    </rPh>
    <rPh sb="5" eb="7">
      <t>コウジ</t>
    </rPh>
    <rPh sb="8" eb="10">
      <t>ホソウ</t>
    </rPh>
    <rPh sb="10" eb="12">
      <t>コウジ</t>
    </rPh>
    <rPh sb="13" eb="15">
      <t>ハイスイ</t>
    </rPh>
    <rPh sb="15" eb="16">
      <t>ノゾ</t>
    </rPh>
    <phoneticPr fontId="2"/>
  </si>
  <si>
    <t>(9)予備</t>
    <rPh sb="3" eb="5">
      <t>ヨビ</t>
    </rPh>
    <phoneticPr fontId="2"/>
  </si>
  <si>
    <t>(10)予備</t>
    <rPh sb="4" eb="6">
      <t>ヨビ</t>
    </rPh>
    <phoneticPr fontId="2"/>
  </si>
  <si>
    <t>除外</t>
    <phoneticPr fontId="2"/>
  </si>
  <si>
    <t>(12)～(17)</t>
    <phoneticPr fontId="2"/>
  </si>
  <si>
    <t>別途</t>
    <rPh sb="0" eb="2">
      <t>ベット</t>
    </rPh>
    <phoneticPr fontId="2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</si>
  <si>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</si>
  <si>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算定</t>
    <rPh sb="0" eb="2">
      <t>サンテイ</t>
    </rPh>
    <phoneticPr fontId="2"/>
  </si>
  <si>
    <t>※別途工事により算定</t>
    <rPh sb="1" eb="3">
      <t>ベット</t>
    </rPh>
    <phoneticPr fontId="2"/>
  </si>
  <si>
    <t>現場管理費計</t>
    <phoneticPr fontId="2"/>
  </si>
  <si>
    <t>調整対象額計</t>
    <rPh sb="0" eb="2">
      <t>チョウセイ</t>
    </rPh>
    <rPh sb="2" eb="4">
      <t>タイショウ</t>
    </rPh>
    <rPh sb="4" eb="5">
      <t>ガク</t>
    </rPh>
    <rPh sb="5" eb="6">
      <t>ケイ</t>
    </rPh>
    <phoneticPr fontId="2"/>
  </si>
  <si>
    <t>変更対象純工事費</t>
    <rPh sb="0" eb="2">
      <t>ヘンコウ</t>
    </rPh>
    <rPh sb="2" eb="4">
      <t>タイショウ</t>
    </rPh>
    <rPh sb="4" eb="5">
      <t>ジュン</t>
    </rPh>
    <rPh sb="5" eb="8">
      <t>コウジヒ</t>
    </rPh>
    <phoneticPr fontId="2"/>
  </si>
  <si>
    <t>現場管理費調整額</t>
    <rPh sb="0" eb="2">
      <t>ゲンバ</t>
    </rPh>
    <rPh sb="2" eb="5">
      <t>カンリヒ</t>
    </rPh>
    <rPh sb="5" eb="7">
      <t>チョウセイ</t>
    </rPh>
    <rPh sb="7" eb="8">
      <t>ガク</t>
    </rPh>
    <phoneticPr fontId="2"/>
  </si>
  <si>
    <t>現場管理費調整額端数調整</t>
    <rPh sb="0" eb="2">
      <t>ゲンバ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</si>
  <si>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現場管理費　改計</t>
    <rPh sb="6" eb="7">
      <t>カイ</t>
    </rPh>
    <phoneticPr fontId="2"/>
  </si>
  <si>
    <t>一般管理費等</t>
    <rPh sb="0" eb="2">
      <t>イッパン</t>
    </rPh>
    <rPh sb="2" eb="5">
      <t>カンリヒ</t>
    </rPh>
    <rPh sb="5" eb="6">
      <t>トウ</t>
    </rPh>
    <phoneticPr fontId="2"/>
  </si>
  <si>
    <t>対象工事原価→</t>
    <rPh sb="0" eb="2">
      <t>タイショウ</t>
    </rPh>
    <rPh sb="2" eb="4">
      <t>コウジ</t>
    </rPh>
    <rPh sb="4" eb="6">
      <t>ゲンカ</t>
    </rPh>
    <phoneticPr fontId="2"/>
  </si>
  <si>
    <t>別途算定　一般管理費等（土木工事）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rPh sb="12" eb="14">
      <t>ドボク</t>
    </rPh>
    <rPh sb="14" eb="16">
      <t>コウジ</t>
    </rPh>
    <phoneticPr fontId="2"/>
  </si>
  <si>
    <t>一般管理費等　計</t>
    <rPh sb="0" eb="2">
      <t>イッパン</t>
    </rPh>
    <rPh sb="2" eb="5">
      <t>カンリヒ</t>
    </rPh>
    <rPh sb="5" eb="6">
      <t>トウ</t>
    </rPh>
    <rPh sb="7" eb="8">
      <t>ケイ</t>
    </rPh>
    <phoneticPr fontId="2"/>
  </si>
  <si>
    <t>変更対象工事原価</t>
    <rPh sb="0" eb="2">
      <t>ヘンコウ</t>
    </rPh>
    <rPh sb="2" eb="4">
      <t>タイショウ</t>
    </rPh>
    <rPh sb="4" eb="6">
      <t>コウジ</t>
    </rPh>
    <rPh sb="6" eb="8">
      <t>ゲンカ</t>
    </rPh>
    <phoneticPr fontId="2"/>
  </si>
  <si>
    <t>一般管理費調整額</t>
    <rPh sb="0" eb="2">
      <t>イッパン</t>
    </rPh>
    <rPh sb="2" eb="5">
      <t>カンリヒ</t>
    </rPh>
    <rPh sb="5" eb="7">
      <t>チョウセイ</t>
    </rPh>
    <rPh sb="7" eb="8">
      <t>ガク</t>
    </rPh>
    <phoneticPr fontId="2"/>
  </si>
  <si>
    <t>一般管理費調整額端数調整</t>
    <rPh sb="0" eb="2">
      <t>イッパン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</si>
  <si>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一般管理費等　改計</t>
    <rPh sb="0" eb="2">
      <t>イッパン</t>
    </rPh>
    <rPh sb="2" eb="5">
      <t>カンリヒ</t>
    </rPh>
    <rPh sb="5" eb="6">
      <t>トウ</t>
    </rPh>
    <rPh sb="7" eb="8">
      <t>カイ</t>
    </rPh>
    <rPh sb="8" eb="9">
      <t>ケイ</t>
    </rPh>
    <phoneticPr fontId="2"/>
  </si>
  <si>
    <t>工事価格（①）</t>
    <rPh sb="0" eb="2">
      <t>コウジ</t>
    </rPh>
    <rPh sb="2" eb="4">
      <t>カカク</t>
    </rPh>
    <phoneticPr fontId="2"/>
  </si>
  <si>
    <t>千円未満切り捨て→</t>
    <rPh sb="0" eb="2">
      <t>センエン</t>
    </rPh>
    <rPh sb="2" eb="4">
      <t>ミマン</t>
    </rPh>
    <rPh sb="4" eb="5">
      <t>キ</t>
    </rPh>
    <rPh sb="6" eb="7">
      <t>ス</t>
    </rPh>
    <phoneticPr fontId="2"/>
  </si>
  <si>
    <t>内訳</t>
    <rPh sb="0" eb="2">
      <t>ウチワケ</t>
    </rPh>
    <phoneticPr fontId="2"/>
  </si>
  <si>
    <t>純工事費</t>
    <rPh sb="0" eb="1">
      <t>ジュン</t>
    </rPh>
    <rPh sb="1" eb="4">
      <t>コウジヒ</t>
    </rPh>
    <phoneticPr fontId="2"/>
  </si>
  <si>
    <t>現場管理費、一般管理費等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phoneticPr fontId="2"/>
  </si>
  <si>
    <t>変更工事価格（①×R）</t>
    <rPh sb="0" eb="2">
      <t>ヘンコウ</t>
    </rPh>
    <rPh sb="2" eb="4">
      <t>コウジ</t>
    </rPh>
    <rPh sb="4" eb="6">
      <t>カカク</t>
    </rPh>
    <phoneticPr fontId="2"/>
  </si>
  <si>
    <t>P-2</t>
    <phoneticPr fontId="2"/>
  </si>
  <si>
    <t>随意契約＝＞</t>
    <rPh sb="0" eb="2">
      <t>ズイイ</t>
    </rPh>
    <rPh sb="2" eb="4">
      <t>ケイヤク</t>
    </rPh>
    <phoneticPr fontId="2"/>
  </si>
  <si>
    <t>無し</t>
    <rPh sb="0" eb="1">
      <t>ナ</t>
    </rPh>
    <phoneticPr fontId="2"/>
  </si>
  <si>
    <t>小数点以下1桁---&gt;</t>
    <rPh sb="0" eb="3">
      <t>ショウスウテン</t>
    </rPh>
    <rPh sb="3" eb="5">
      <t>イカ</t>
    </rPh>
    <rPh sb="6" eb="7">
      <t>ケタ</t>
    </rPh>
    <phoneticPr fontId="2"/>
  </si>
  <si>
    <t>改修・新営を選択---&gt;</t>
    <rPh sb="0" eb="2">
      <t>カイシュウ</t>
    </rPh>
    <rPh sb="3" eb="4">
      <t>シン</t>
    </rPh>
    <rPh sb="6" eb="8">
      <t>センタク</t>
    </rPh>
    <phoneticPr fontId="2"/>
  </si>
  <si>
    <t>前　払 い 有り・無し--&gt;</t>
    <phoneticPr fontId="2"/>
  </si>
  <si>
    <t>有り</t>
  </si>
  <si>
    <t>契約保証費 有り・無し--&gt;</t>
  </si>
  <si>
    <t>&lt;工期は2ヶ月以内&gt;</t>
    <rPh sb="1" eb="3">
      <t>コウキ</t>
    </rPh>
    <rPh sb="6" eb="7">
      <t>ゲツ</t>
    </rPh>
    <rPh sb="7" eb="9">
      <t>イナイ</t>
    </rPh>
    <phoneticPr fontId="2"/>
  </si>
  <si>
    <t>積上げ・率処理併用</t>
  </si>
  <si>
    <t>駅施設</t>
  </si>
  <si>
    <t>無し</t>
  </si>
  <si>
    <t>　純　　工　　事　　費　　　　合　　計</t>
    <phoneticPr fontId="2"/>
  </si>
  <si>
    <t>現場管理費より控除する専門・除外の工事費---&gt;</t>
    <phoneticPr fontId="2"/>
  </si>
  <si>
    <t>一般管理費等より控除する専門・除外の工事費---&gt;</t>
  </si>
  <si>
    <t>別途算定の現場管理費にかかる工事費--&gt;</t>
    <rPh sb="0" eb="2">
      <t>ベット</t>
    </rPh>
    <rPh sb="2" eb="4">
      <t>サンテイ</t>
    </rPh>
    <phoneticPr fontId="2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</si>
  <si>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2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</si>
  <si>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2"/>
  </si>
  <si>
    <t>(現 場 管 理 費)</t>
  </si>
  <si>
    <t>　　内、建築工事によるもの</t>
    <rPh sb="2" eb="3">
      <t>ウチ</t>
    </rPh>
    <rPh sb="4" eb="6">
      <t>ケンチク</t>
    </rPh>
    <rPh sb="6" eb="8">
      <t>コウジ</t>
    </rPh>
    <phoneticPr fontId="2"/>
  </si>
  <si>
    <t>[内率算出による標準額]</t>
  </si>
  <si>
    <t>[内固定率・除外（設備含む）の額]</t>
    <rPh sb="9" eb="11">
      <t>セツビ</t>
    </rPh>
    <rPh sb="11" eb="12">
      <t>フク</t>
    </rPh>
    <phoneticPr fontId="2"/>
  </si>
  <si>
    <t>内、別途算定によるもの</t>
    <rPh sb="0" eb="1">
      <t>ウチ</t>
    </rPh>
    <rPh sb="2" eb="4">
      <t>ベット</t>
    </rPh>
    <rPh sb="4" eb="6">
      <t>サンテイ</t>
    </rPh>
    <phoneticPr fontId="2"/>
  </si>
  <si>
    <t>(一 般 管 理 費 等)</t>
  </si>
  <si>
    <t>[内保証費等による補正額]</t>
  </si>
  <si>
    <t>[内固定率・除外の額]</t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</si>
  <si>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2"/>
  </si>
  <si>
    <t>　工 　事 　価 　格</t>
    <phoneticPr fontId="2"/>
  </si>
  <si>
    <t>共 通 費 算 定 用 入 力 欄</t>
    <rPh sb="0" eb="1">
      <t>トモ</t>
    </rPh>
    <rPh sb="2" eb="3">
      <t>ツウ</t>
    </rPh>
    <phoneticPr fontId="2"/>
  </si>
  <si>
    <t>（緑色部分に入力）</t>
  </si>
  <si>
    <t>(3)新築主体工事の鉄骨工事(機械費含む)</t>
    <phoneticPr fontId="2"/>
  </si>
  <si>
    <t>(5)造園工事、舗装工事(排水除く)</t>
    <phoneticPr fontId="2"/>
  </si>
  <si>
    <t>　家具・流し・実験台</t>
    <phoneticPr fontId="2"/>
  </si>
  <si>
    <t>(9)</t>
    <phoneticPr fontId="2"/>
  </si>
  <si>
    <t>(10)</t>
    <phoneticPr fontId="2"/>
  </si>
  <si>
    <t>共 通 費 算 定 表 (0)</t>
    <rPh sb="0" eb="1">
      <t>トモ</t>
    </rPh>
    <rPh sb="2" eb="3">
      <t>ツウ</t>
    </rPh>
    <phoneticPr fontId="2"/>
  </si>
  <si>
    <t>P-2-2</t>
    <phoneticPr fontId="2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</si>
  <si>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2"/>
  </si>
  <si>
    <t>補正率</t>
  </si>
  <si>
    <t>当該率</t>
    <phoneticPr fontId="2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</si>
  <si>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2"/>
  </si>
  <si>
    <t>対象直接工事費（（12）(15)～（17）除く）</t>
    <rPh sb="2" eb="4">
      <t>チョクセツ</t>
    </rPh>
    <rPh sb="21" eb="22">
      <t>ノゾ</t>
    </rPh>
    <phoneticPr fontId="2"/>
  </si>
  <si>
    <t>-</t>
    <phoneticPr fontId="2"/>
  </si>
  <si>
    <t>(3)新築主体工事の鉄骨工事(機械費含む)</t>
  </si>
  <si>
    <t>(4)改修主体工事の鉄骨工事(機械費含む)</t>
  </si>
  <si>
    <t>(5)造園工事、舗装工事(排水除く)</t>
  </si>
  <si>
    <t>(6)とりこわし工事</t>
    <phoneticPr fontId="2"/>
  </si>
  <si>
    <t>除外</t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</si>
  <si>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2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</si>
  <si>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2"/>
  </si>
  <si>
    <t>当該率---&gt;</t>
    <phoneticPr fontId="2"/>
  </si>
  <si>
    <t>(6)とりこわし工事</t>
  </si>
  <si>
    <t>　家具・流し・実験台</t>
  </si>
  <si>
    <t>(9)</t>
  </si>
  <si>
    <t>(10)</t>
  </si>
  <si>
    <t>（12）～(17)</t>
  </si>
  <si>
    <t>共通仮設費 [内率算出による標準額]</t>
    <rPh sb="0" eb="2">
      <t>キョウツウ</t>
    </rPh>
    <rPh sb="2" eb="4">
      <t>カセツ</t>
    </rPh>
    <rPh sb="4" eb="5">
      <t>ヒ</t>
    </rPh>
    <phoneticPr fontId="2"/>
  </si>
  <si>
    <t>共 通 費 算 定 表 （既発注）(1)</t>
    <rPh sb="0" eb="1">
      <t>トモ</t>
    </rPh>
    <rPh sb="2" eb="3">
      <t>ツウ</t>
    </rPh>
    <rPh sb="13" eb="14">
      <t>キ</t>
    </rPh>
    <rPh sb="14" eb="16">
      <t>ハッチュウ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</si>
  <si>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</si>
  <si>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</si>
  <si>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現場管理費対象純工事費</t>
  </si>
  <si>
    <t>対象純工事費（（12）(15）(16））除く</t>
    <rPh sb="20" eb="21">
      <t>ノゾ</t>
    </rPh>
    <phoneticPr fontId="2"/>
  </si>
  <si>
    <t>(12)～（17）</t>
    <phoneticPr fontId="2"/>
  </si>
  <si>
    <t>現場管理費</t>
    <phoneticPr fontId="2"/>
  </si>
  <si>
    <t>(11)近隣家屋調査及び地質調査</t>
    <phoneticPr fontId="2"/>
  </si>
  <si>
    <t>別途算定</t>
    <rPh sb="0" eb="2">
      <t>ベット</t>
    </rPh>
    <rPh sb="2" eb="4">
      <t>サンテイ</t>
    </rPh>
    <phoneticPr fontId="2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</si>
  <si>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2"/>
  </si>
  <si>
    <t>現場管理費 合 計</t>
  </si>
  <si>
    <t>工事原価</t>
  </si>
  <si>
    <t>共 通 費 算 定 表（既発注） (2)</t>
    <rPh sb="0" eb="1">
      <t>トモ</t>
    </rPh>
    <rPh sb="2" eb="3">
      <t>ツウ</t>
    </rPh>
    <rPh sb="12" eb="13">
      <t>キ</t>
    </rPh>
    <rPh sb="13" eb="15">
      <t>ハッチュウ</t>
    </rPh>
    <phoneticPr fontId="2"/>
  </si>
  <si>
    <t>P-4</t>
    <phoneticPr fontId="2"/>
  </si>
  <si>
    <t>当該率</t>
  </si>
  <si>
    <t>建築工事原価</t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</si>
  <si>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2"/>
  </si>
  <si>
    <t>対象工事原価（下水道使用料・各種負担金を除く）</t>
    <rPh sb="14" eb="16">
      <t>カクシュ</t>
    </rPh>
    <rPh sb="16" eb="19">
      <t>フタンキン</t>
    </rPh>
    <phoneticPr fontId="2"/>
  </si>
  <si>
    <t>&lt;--前　払　い 有り・無し</t>
  </si>
  <si>
    <t>一般管理費等対象工事原価</t>
  </si>
  <si>
    <t>&lt;--契約保証費 有り・無し</t>
  </si>
  <si>
    <t>(1)建築工事～(14)借地借家料</t>
    <phoneticPr fontId="2"/>
  </si>
  <si>
    <t>補正</t>
    <rPh sb="1" eb="2">
      <t>セイ</t>
    </rPh>
    <phoneticPr fontId="2"/>
  </si>
  <si>
    <t>前　払　い無し時の補正</t>
  </si>
  <si>
    <t>契約保証費有り時の補正</t>
  </si>
  <si>
    <t>除外</t>
    <rPh sb="1" eb="2">
      <t>ガイ</t>
    </rPh>
    <phoneticPr fontId="2"/>
  </si>
  <si>
    <t>一般管理費等</t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</si>
  <si>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2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</si>
  <si>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2"/>
  </si>
  <si>
    <t>.</t>
    <phoneticPr fontId="2"/>
  </si>
  <si>
    <t>一般管理費等 合 計</t>
  </si>
  <si>
    <t>工事価格</t>
  </si>
  <si>
    <t>調整 一般管理費等</t>
  </si>
  <si>
    <t>ﾏｲﾅｽ表示はERR-&gt;</t>
  </si>
  <si>
    <t>工事価格    改  計</t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</si>
  <si>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2"/>
  </si>
  <si>
    <t>Ｔ（か月）</t>
    <rPh sb="3" eb="4">
      <t>ツキ</t>
    </rPh>
    <phoneticPr fontId="2"/>
  </si>
  <si>
    <t>新営建築工事</t>
    <rPh sb="0" eb="2">
      <t>シンエイ</t>
    </rPh>
    <rPh sb="2" eb="4">
      <t>ケンチク</t>
    </rPh>
    <rPh sb="4" eb="6">
      <t>コウジ</t>
    </rPh>
    <phoneticPr fontId="2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</si>
  <si>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</si>
  <si>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Ｋｒ</t>
    <phoneticPr fontId="2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</si>
  <si>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2"/>
  </si>
  <si>
    <t>上限</t>
    <rPh sb="0" eb="2">
      <t>ジョウゲン</t>
    </rPh>
    <phoneticPr fontId="2"/>
  </si>
  <si>
    <t>下限</t>
    <rPh sb="0" eb="1">
      <t>シタ</t>
    </rPh>
    <rPh sb="1" eb="2">
      <t>カギ</t>
    </rPh>
    <phoneticPr fontId="2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</si>
  <si>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2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</si>
  <si>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2"/>
  </si>
  <si>
    <t>今回工事の共通仮設費率補正　（監督員事務所無し時の補正)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rPh sb="15" eb="17">
      <t>カントク</t>
    </rPh>
    <rPh sb="17" eb="18">
      <t>イン</t>
    </rPh>
    <rPh sb="18" eb="20">
      <t>ジム</t>
    </rPh>
    <rPh sb="20" eb="21">
      <t>ショ</t>
    </rPh>
    <rPh sb="21" eb="22">
      <t>ナシ</t>
    </rPh>
    <rPh sb="23" eb="24">
      <t>ジ</t>
    </rPh>
    <rPh sb="25" eb="27">
      <t>ホセイ</t>
    </rPh>
    <phoneticPr fontId="2"/>
  </si>
  <si>
    <t>改修建築工事</t>
    <rPh sb="0" eb="2">
      <t>カイシュウ</t>
    </rPh>
    <rPh sb="2" eb="4">
      <t>ケンチク</t>
    </rPh>
    <rPh sb="4" eb="6">
      <t>コウジ</t>
    </rPh>
    <phoneticPr fontId="2"/>
  </si>
  <si>
    <t>Ｋｒ</t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</si>
  <si>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2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</si>
  <si>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2"/>
  </si>
  <si>
    <t>現場管理費率  算定欄</t>
    <rPh sb="5" eb="6">
      <t>リツ</t>
    </rPh>
    <rPh sb="8" eb="10">
      <t>サンテイ</t>
    </rPh>
    <rPh sb="10" eb="11">
      <t>ラン</t>
    </rPh>
    <phoneticPr fontId="2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</si>
  <si>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</si>
  <si>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Jo</t>
    <phoneticPr fontId="2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</si>
  <si>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2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</si>
  <si>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2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</si>
  <si>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2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</si>
  <si>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2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</si>
  <si>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2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</si>
  <si>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2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</si>
  <si>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2"/>
  </si>
  <si>
    <t>Gp</t>
    <phoneticPr fontId="2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</si>
  <si>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2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</si>
  <si>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2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</si>
  <si>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2"/>
  </si>
  <si>
    <t>P-5</t>
    <phoneticPr fontId="2"/>
  </si>
  <si>
    <t>次回　変更計上金額</t>
    <rPh sb="0" eb="2">
      <t>ジカイ</t>
    </rPh>
    <rPh sb="3" eb="5">
      <t>ヘンコウ</t>
    </rPh>
    <rPh sb="5" eb="7">
      <t>ケイジョウ</t>
    </rPh>
    <rPh sb="7" eb="9">
      <t>キンガク</t>
    </rPh>
    <phoneticPr fontId="2"/>
  </si>
  <si>
    <t>無し</t>
    <rPh sb="0" eb="1">
      <t>ナシ</t>
    </rPh>
    <phoneticPr fontId="2"/>
  </si>
  <si>
    <t>内、リース料</t>
    <rPh sb="0" eb="1">
      <t>ウチ</t>
    </rPh>
    <rPh sb="5" eb="6">
      <t>リョウ</t>
    </rPh>
    <phoneticPr fontId="2"/>
  </si>
  <si>
    <t>(14)リース料,借地借家料(直工のみ）</t>
    <rPh sb="15" eb="16">
      <t>チョク</t>
    </rPh>
    <rPh sb="16" eb="17">
      <t>コウ</t>
    </rPh>
    <phoneticPr fontId="2"/>
  </si>
  <si>
    <t>P-5-2</t>
    <phoneticPr fontId="2"/>
  </si>
  <si>
    <t>対象直接工事費（（12）～（17）除く）</t>
    <rPh sb="2" eb="4">
      <t>チョクセツ</t>
    </rPh>
    <rPh sb="17" eb="18">
      <t>ノゾ</t>
    </rPh>
    <phoneticPr fontId="2"/>
  </si>
  <si>
    <t>（12）～(17)(但し(14)は率算出対象）</t>
    <rPh sb="10" eb="11">
      <t>タダ</t>
    </rPh>
    <rPh sb="17" eb="18">
      <t>リツ</t>
    </rPh>
    <rPh sb="18" eb="20">
      <t>サンシュツ</t>
    </rPh>
    <rPh sb="20" eb="22">
      <t>タイショウ</t>
    </rPh>
    <phoneticPr fontId="2"/>
  </si>
  <si>
    <t>共 通 費 算 定 表 合 計(1)</t>
    <rPh sb="0" eb="1">
      <t>トモ</t>
    </rPh>
    <rPh sb="2" eb="3">
      <t>ツウ</t>
    </rPh>
    <rPh sb="12" eb="13">
      <t>ゴウ</t>
    </rPh>
    <rPh sb="14" eb="15">
      <t>ケイ</t>
    </rPh>
    <phoneticPr fontId="2"/>
  </si>
  <si>
    <t>P-6</t>
    <phoneticPr fontId="2"/>
  </si>
  <si>
    <t>共 通 費 算 定 表 (2)</t>
    <rPh sb="0" eb="1">
      <t>トモ</t>
    </rPh>
    <rPh sb="2" eb="3">
      <t>ツウ</t>
    </rPh>
    <phoneticPr fontId="2"/>
  </si>
  <si>
    <t>P-7</t>
    <phoneticPr fontId="2"/>
  </si>
  <si>
    <t>P-1</t>
    <phoneticPr fontId="2"/>
  </si>
  <si>
    <t>●●工事</t>
    <rPh sb="2" eb="4">
      <t>コウジ</t>
    </rPh>
    <phoneticPr fontId="2"/>
  </si>
  <si>
    <t>（着色部分に入力）</t>
    <rPh sb="1" eb="3">
      <t>チャクショク</t>
    </rPh>
    <phoneticPr fontId="2"/>
  </si>
  <si>
    <t>直接工事費（下請経費共）　合   計</t>
    <rPh sb="0" eb="1">
      <t>チョク</t>
    </rPh>
    <rPh sb="1" eb="2">
      <t>セツ</t>
    </rPh>
    <phoneticPr fontId="2"/>
  </si>
  <si>
    <t>共通仮設費（下請経費共）　合　 計</t>
    <rPh sb="0" eb="2">
      <t>キョウツウ</t>
    </rPh>
    <rPh sb="2" eb="4">
      <t>カセツ</t>
    </rPh>
    <rPh sb="4" eb="5">
      <t>ヒ</t>
    </rPh>
    <rPh sb="6" eb="8">
      <t>シタウ</t>
    </rPh>
    <rPh sb="8" eb="10">
      <t>ケイヒ</t>
    </rPh>
    <rPh sb="10" eb="11">
      <t>トモ</t>
    </rPh>
    <rPh sb="13" eb="14">
      <t>ア</t>
    </rPh>
    <rPh sb="16" eb="17">
      <t>ケイ</t>
    </rPh>
    <phoneticPr fontId="2"/>
  </si>
  <si>
    <t>うち　警備員費　　</t>
    <rPh sb="3" eb="6">
      <t>ケイビイン</t>
    </rPh>
    <rPh sb="6" eb="7">
      <t>ヒ</t>
    </rPh>
    <phoneticPr fontId="2"/>
  </si>
  <si>
    <t>直接工事費（下請経費除く）　合   計</t>
    <rPh sb="0" eb="1">
      <t>チョク</t>
    </rPh>
    <rPh sb="1" eb="2">
      <t>セツ</t>
    </rPh>
    <rPh sb="10" eb="11">
      <t>ノゾ</t>
    </rPh>
    <phoneticPr fontId="2"/>
  </si>
  <si>
    <t>共通仮設費（下請経費共）　合   計</t>
    <rPh sb="0" eb="2">
      <t>キョウツウ</t>
    </rPh>
    <rPh sb="2" eb="4">
      <t>カセツ</t>
    </rPh>
    <phoneticPr fontId="2"/>
  </si>
  <si>
    <t>共通仮設費（下請経費除く）　合   計</t>
    <rPh sb="0" eb="2">
      <t>キョウツウ</t>
    </rPh>
    <rPh sb="2" eb="4">
      <t>カセツ</t>
    </rPh>
    <rPh sb="4" eb="5">
      <t>ヒ</t>
    </rPh>
    <rPh sb="10" eb="11">
      <t>ノゾ</t>
    </rPh>
    <phoneticPr fontId="2"/>
  </si>
  <si>
    <r>
      <t xml:space="preserve">専業・一般・その他等 </t>
    </r>
    <r>
      <rPr>
        <b/>
        <sz val="10"/>
        <rFont val="ＭＳ Ｐ明朝"/>
        <family val="1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</si>
  <si>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</si>
  <si>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専業工事</t>
    <rPh sb="0" eb="2">
      <t>センギョウ</t>
    </rPh>
    <rPh sb="2" eb="4">
      <t>コウジ</t>
    </rPh>
    <phoneticPr fontId="2"/>
  </si>
  <si>
    <t>純工事費計（下請経費共）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トモ</t>
    </rPh>
    <phoneticPr fontId="2"/>
  </si>
  <si>
    <t>純工事費計（下請経費除く）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ノゾ</t>
    </rPh>
    <phoneticPr fontId="2"/>
  </si>
  <si>
    <t>請現場管理費</t>
    <rPh sb="0" eb="1">
      <t>ショウ</t>
    </rPh>
    <rPh sb="1" eb="3">
      <t>ゲンバ</t>
    </rPh>
    <phoneticPr fontId="2"/>
  </si>
  <si>
    <t>標準</t>
    <rPh sb="0" eb="1">
      <t>ヒョウジュン</t>
    </rPh>
    <phoneticPr fontId="2"/>
  </si>
  <si>
    <t>(1)(2)</t>
    <phoneticPr fontId="2"/>
  </si>
  <si>
    <t>専業</t>
    <rPh sb="0" eb="1">
      <t>センギョウ</t>
    </rPh>
    <phoneticPr fontId="2"/>
  </si>
  <si>
    <t>(3)～(8)</t>
    <phoneticPr fontId="2"/>
  </si>
  <si>
    <t>(9)～(11)</t>
    <phoneticPr fontId="2"/>
  </si>
  <si>
    <t>除外</t>
    <phoneticPr fontId="2"/>
  </si>
  <si>
    <t>（12）～（18）除外</t>
    <rPh sb="9" eb="11">
      <t>ジョガイ</t>
    </rPh>
    <phoneticPr fontId="2"/>
  </si>
  <si>
    <t>（19）別途算定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</si>
  <si>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現場管理費計</t>
    <phoneticPr fontId="2"/>
  </si>
  <si>
    <t>現場管理費改計</t>
    <rPh sb="5" eb="6">
      <t>カイ</t>
    </rPh>
    <phoneticPr fontId="2"/>
  </si>
  <si>
    <t>対象工事原価→</t>
  </si>
  <si>
    <t>純工事費（下請経費除く）</t>
    <rPh sb="0" eb="1">
      <t>ジュン</t>
    </rPh>
    <rPh sb="1" eb="4">
      <t>コウジヒ</t>
    </rPh>
    <rPh sb="5" eb="7">
      <t>シタウケ</t>
    </rPh>
    <rPh sb="7" eb="9">
      <t>ケイヒ</t>
    </rPh>
    <rPh sb="9" eb="10">
      <t>ノゾ</t>
    </rPh>
    <phoneticPr fontId="2"/>
  </si>
  <si>
    <t>P-2</t>
    <phoneticPr fontId="2"/>
  </si>
  <si>
    <t>共通費集計表</t>
  </si>
  <si>
    <t>発注形態　元請・下請け--&gt;</t>
  </si>
  <si>
    <t>元請</t>
    <rPh sb="0" eb="2">
      <t>モトウケ</t>
    </rPh>
    <phoneticPr fontId="2"/>
  </si>
  <si>
    <t>前　払 い 有り・無し--&gt;</t>
  </si>
  <si>
    <t>共通仮設費（下請経費共）　合   計</t>
    <rPh sb="0" eb="2">
      <t>キョウツウ</t>
    </rPh>
    <rPh sb="2" eb="4">
      <t>カセツ</t>
    </rPh>
    <rPh sb="4" eb="5">
      <t>ヒ</t>
    </rPh>
    <phoneticPr fontId="2"/>
  </si>
  <si>
    <t>　純　工　事　費　　　　　　合　　計</t>
    <phoneticPr fontId="2"/>
  </si>
  <si>
    <r>
      <t>(直接工事費 直接仮設</t>
    </r>
    <r>
      <rPr>
        <sz val="10"/>
        <rFont val="ＭＳ Ｐ明朝"/>
        <family val="1"/>
        <charset val="128"/>
      </rPr>
      <t>を含む)</t>
    </r>
    <rPh sb="12" eb="13">
      <t>フク</t>
    </rPh>
    <phoneticPr fontId="2"/>
  </si>
  <si>
    <t>現場管理費より控除する専門・除外の工事費---&gt;</t>
  </si>
  <si>
    <t>(共通仮設費)</t>
  </si>
  <si>
    <t>　現場管理費・一般管理費等　　合　　計</t>
  </si>
  <si>
    <t>　工 　事 　価 　格</t>
    <phoneticPr fontId="2"/>
  </si>
  <si>
    <t>一般・その他等  純工事費</t>
    <phoneticPr fontId="2"/>
  </si>
  <si>
    <t>(3)共通仮設工事（下請経費共）(警備員等除く)</t>
    <rPh sb="17" eb="20">
      <t>ケイビイン</t>
    </rPh>
    <rPh sb="20" eb="21">
      <t>トウ</t>
    </rPh>
    <rPh sb="21" eb="22">
      <t>ノゾ</t>
    </rPh>
    <phoneticPr fontId="2"/>
  </si>
  <si>
    <t>(4)直接仮設工事（下請経費共）</t>
  </si>
  <si>
    <t>(5)塗装工事（下請経費共）</t>
    <rPh sb="3" eb="5">
      <t>トソウ</t>
    </rPh>
    <rPh sb="5" eb="7">
      <t>コウジ</t>
    </rPh>
    <phoneticPr fontId="2"/>
  </si>
  <si>
    <t>(6)場内小運搬費（下請経費共）</t>
  </si>
  <si>
    <t>(7)〃人力積込み費（下請経費共）</t>
  </si>
  <si>
    <t>(8)</t>
    <phoneticPr fontId="2"/>
  </si>
  <si>
    <t>(9)近隣家屋調査及び地質調査</t>
    <phoneticPr fontId="2"/>
  </si>
  <si>
    <t>(10)とりこわし工事</t>
    <rPh sb="9" eb="11">
      <t>コウジ</t>
    </rPh>
    <phoneticPr fontId="2"/>
  </si>
  <si>
    <t>(11)</t>
    <phoneticPr fontId="2"/>
  </si>
  <si>
    <t>(12)残材処分費及び残土処分費</t>
    <phoneticPr fontId="2"/>
  </si>
  <si>
    <t>(14)リース料（共通仮設）</t>
    <rPh sb="9" eb="11">
      <t>キョウツウ</t>
    </rPh>
    <rPh sb="11" eb="13">
      <t>カセツ</t>
    </rPh>
    <phoneticPr fontId="2"/>
  </si>
  <si>
    <t>(15)借地借家料（共通仮設）</t>
    <rPh sb="10" eb="12">
      <t>キョウツウ</t>
    </rPh>
    <rPh sb="12" eb="14">
      <t>カセツ</t>
    </rPh>
    <phoneticPr fontId="2"/>
  </si>
  <si>
    <t>(16)別途算定（直工費）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</si>
  <si>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(17)別途算定（共通仮設）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</si>
  <si>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(18)下水道使用料、各種負担金（共通仮設）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</si>
  <si>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</si>
  <si>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</si>
  <si>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対象純工事費（下水道,専業を除く）</t>
    <rPh sb="11" eb="13">
      <t>センギョウ</t>
    </rPh>
    <phoneticPr fontId="2"/>
  </si>
  <si>
    <t>標準</t>
    <phoneticPr fontId="2"/>
  </si>
  <si>
    <t>-</t>
  </si>
  <si>
    <t>(3)共通仮設工事</t>
    <phoneticPr fontId="2"/>
  </si>
  <si>
    <t>(4)直接仮設工事</t>
    <phoneticPr fontId="2"/>
  </si>
  <si>
    <t>(6)場内小運搬費</t>
    <phoneticPr fontId="2"/>
  </si>
  <si>
    <t>(7)〃人力積込み費</t>
    <phoneticPr fontId="2"/>
  </si>
  <si>
    <t>(8)〃搬出準備費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</si>
  <si>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</si>
  <si>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</si>
  <si>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</si>
  <si>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(12)～(18)</t>
    <phoneticPr fontId="2"/>
  </si>
  <si>
    <t>※専業工事の現場管理費は、便宜上、下請経費の1/2とする。</t>
  </si>
  <si>
    <t>-</t>
    <phoneticPr fontId="2"/>
  </si>
  <si>
    <t>当該率---&gt;</t>
    <phoneticPr fontId="2"/>
  </si>
  <si>
    <t>-</t>
    <phoneticPr fontId="2"/>
  </si>
  <si>
    <t>(9)近隣家屋調査及び地質調査</t>
    <phoneticPr fontId="2"/>
  </si>
  <si>
    <t>(11)　---</t>
    <phoneticPr fontId="2"/>
  </si>
  <si>
    <t>(16)(17)包含設備工事　現場管理費</t>
    <rPh sb="8" eb="10">
      <t>ホウガン</t>
    </rPh>
    <rPh sb="10" eb="12">
      <t>セツビ</t>
    </rPh>
    <rPh sb="12" eb="14">
      <t>コウジ</t>
    </rPh>
    <rPh sb="15" eb="17">
      <t>ゲンバ</t>
    </rPh>
    <rPh sb="17" eb="20">
      <t>カンリヒ</t>
    </rPh>
    <phoneticPr fontId="2"/>
  </si>
  <si>
    <t>　※各設備工事により算定</t>
    <rPh sb="2" eb="3">
      <t>カク</t>
    </rPh>
    <rPh sb="3" eb="5">
      <t>セツビ</t>
    </rPh>
    <rPh sb="5" eb="7">
      <t>コウジ</t>
    </rPh>
    <rPh sb="10" eb="12">
      <t>サンテイ</t>
    </rPh>
    <phoneticPr fontId="2"/>
  </si>
  <si>
    <t>(12)(13)(14)(15)(18)</t>
    <phoneticPr fontId="2"/>
  </si>
  <si>
    <t>P-4</t>
    <phoneticPr fontId="2"/>
  </si>
  <si>
    <t>工事原価</t>
    <phoneticPr fontId="2"/>
  </si>
  <si>
    <t>一般管理費等対象工事原価（下水道,専業を除く）</t>
    <phoneticPr fontId="2"/>
  </si>
  <si>
    <t>(1)建築工事～(15)借地借家料</t>
  </si>
  <si>
    <t>専業</t>
    <rPh sb="0" eb="2">
      <t>センギョウ</t>
    </rPh>
    <phoneticPr fontId="2"/>
  </si>
  <si>
    <t>(3)～(8)専業工事</t>
    <phoneticPr fontId="2"/>
  </si>
  <si>
    <t>(18)下水道使用料、各種負担金</t>
    <rPh sb="11" eb="13">
      <t>カクシュ</t>
    </rPh>
    <rPh sb="13" eb="16">
      <t>フタンキン</t>
    </rPh>
    <phoneticPr fontId="2"/>
  </si>
  <si>
    <t>一般建築工事＋その他等</t>
    <phoneticPr fontId="2"/>
  </si>
  <si>
    <t>※専業工事の一般管理費等は、便宜上、下請経費の1/2とする。</t>
  </si>
  <si>
    <t>Jo</t>
    <phoneticPr fontId="2"/>
  </si>
  <si>
    <t>Gp</t>
    <phoneticPr fontId="2"/>
  </si>
  <si>
    <t>営繕工事</t>
  </si>
  <si>
    <t>P-5</t>
    <phoneticPr fontId="2"/>
  </si>
  <si>
    <t>◇◇◇改造工事の部</t>
    <phoneticPr fontId="2"/>
  </si>
  <si>
    <t>◇◇◇改造工事の部</t>
  </si>
  <si>
    <t>　純　工　事　費　　　　　　合　　計</t>
    <phoneticPr fontId="2"/>
  </si>
  <si>
    <t>諸 経 費 算 定 用 入 力 欄</t>
  </si>
  <si>
    <t>(5)塗装工事（下請経費共）</t>
  </si>
  <si>
    <t>(10)</t>
    <phoneticPr fontId="2"/>
  </si>
  <si>
    <t>(12)残材処分費及び残土処分費</t>
  </si>
  <si>
    <t>(14)リース料</t>
  </si>
  <si>
    <t>(15)借地借家料</t>
  </si>
  <si>
    <t>P-6</t>
    <phoneticPr fontId="2"/>
  </si>
  <si>
    <t>(3)共通仮設工事</t>
    <phoneticPr fontId="2"/>
  </si>
  <si>
    <t>(4)直接仮設工事</t>
    <phoneticPr fontId="2"/>
  </si>
  <si>
    <t>(5)建具工事</t>
    <rPh sb="3" eb="5">
      <t>タテグ</t>
    </rPh>
    <rPh sb="5" eb="7">
      <t>コウジ</t>
    </rPh>
    <phoneticPr fontId="2"/>
  </si>
  <si>
    <t>P-7</t>
    <phoneticPr fontId="2"/>
  </si>
  <si>
    <t>工事のシート名を入力(例：工事１)---&gt;</t>
    <rPh sb="0" eb="2">
      <t>コウジ</t>
    </rPh>
    <rPh sb="6" eb="7">
      <t>メイ</t>
    </rPh>
    <rPh sb="8" eb="10">
      <t>ニュウリョク</t>
    </rPh>
    <rPh sb="11" eb="12">
      <t>レイ</t>
    </rPh>
    <rPh sb="13" eb="15">
      <t>コウジ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</si>
  <si>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4">
      <t>ヨミコミ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</si>
  <si>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3">
      <t>ヨ</t>
    </rPh>
    <rPh sb="13" eb="14">
      <t>コ</t>
    </rPh>
    <phoneticPr fontId="2"/>
  </si>
  <si>
    <t>共通仮設費　算出方法--&gt;</t>
    <rPh sb="0" eb="2">
      <t>キョウツウ</t>
    </rPh>
    <rPh sb="2" eb="4">
      <t>カセツ</t>
    </rPh>
    <rPh sb="4" eb="5">
      <t>ヒ</t>
    </rPh>
    <rPh sb="6" eb="8">
      <t>サンシュツ</t>
    </rPh>
    <rPh sb="8" eb="10">
      <t>ホウホウ</t>
    </rPh>
    <phoneticPr fontId="2"/>
  </si>
  <si>
    <t>建物種別補正（"駅施設"又は"地上建物"を選択）--&gt;
(規定値は既発注入力欄を読込み）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2">
      <t>キテイチ</t>
    </rPh>
    <rPh sb="33" eb="34">
      <t>キ</t>
    </rPh>
    <rPh sb="34" eb="36">
      <t>ハッチュウ</t>
    </rPh>
    <rPh sb="36" eb="38">
      <t>ニュウリョク</t>
    </rPh>
    <rPh sb="38" eb="39">
      <t>ラン</t>
    </rPh>
    <rPh sb="40" eb="42">
      <t>ヨミコミ</t>
    </rPh>
    <phoneticPr fontId="2"/>
  </si>
  <si>
    <t>監督員事務所の有無--&gt;
(規定値は既発注入力欄を読込み）</t>
    <rPh sb="0" eb="3">
      <t>カントクイン</t>
    </rPh>
    <rPh sb="3" eb="5">
      <t>ジム</t>
    </rPh>
    <rPh sb="5" eb="6">
      <t>ショ</t>
    </rPh>
    <rPh sb="7" eb="9">
      <t>ウム</t>
    </rPh>
    <rPh sb="14" eb="17">
      <t>キテイチ</t>
    </rPh>
    <rPh sb="18" eb="19">
      <t>キ</t>
    </rPh>
    <rPh sb="19" eb="21">
      <t>ハッチュウ</t>
    </rPh>
    <rPh sb="21" eb="23">
      <t>ニュウリョク</t>
    </rPh>
    <rPh sb="23" eb="24">
      <t>ラン</t>
    </rPh>
    <rPh sb="25" eb="27">
      <t>ヨミコミ</t>
    </rPh>
    <phoneticPr fontId="2"/>
  </si>
  <si>
    <t>内、警備員費</t>
    <rPh sb="2" eb="5">
      <t>ケイビイン</t>
    </rPh>
    <rPh sb="5" eb="6">
      <t>ヒ</t>
    </rPh>
    <phoneticPr fontId="2"/>
  </si>
  <si>
    <r>
      <t xml:space="preserve">専業・一般・その他等 </t>
    </r>
    <r>
      <rPr>
        <b/>
        <sz val="10"/>
        <rFont val="Meiryo UI"/>
        <family val="3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</si>
  <si>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</si>
  <si>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共通仮設費</t>
    <rPh sb="0" eb="2">
      <t>キョウツウ</t>
    </rPh>
    <rPh sb="2" eb="4">
      <t>カセツ</t>
    </rPh>
    <phoneticPr fontId="2"/>
  </si>
  <si>
    <t>(3)～(8)</t>
    <phoneticPr fontId="2"/>
  </si>
  <si>
    <t>(9)～(11)</t>
    <phoneticPr fontId="2"/>
  </si>
  <si>
    <t>除外</t>
    <phoneticPr fontId="2"/>
  </si>
  <si>
    <t>共通仮設費計</t>
    <rPh sb="0" eb="2">
      <t>キョウツウ</t>
    </rPh>
    <rPh sb="2" eb="4">
      <t>カセツ</t>
    </rPh>
    <phoneticPr fontId="2"/>
  </si>
  <si>
    <t>共通仮設費調整額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phoneticPr fontId="2"/>
  </si>
  <si>
    <t>共通仮設費調整額端数調整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</si>
  <si>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共通仮設費改計</t>
    <rPh sb="0" eb="2">
      <t>キョウツウ</t>
    </rPh>
    <rPh sb="2" eb="4">
      <t>カセツ</t>
    </rPh>
    <rPh sb="4" eb="5">
      <t>ヒ</t>
    </rPh>
    <rPh sb="5" eb="6">
      <t>カイ</t>
    </rPh>
    <phoneticPr fontId="2"/>
  </si>
  <si>
    <t>現場管理費</t>
    <rPh sb="0" eb="2">
      <t>ゲンバ</t>
    </rPh>
    <phoneticPr fontId="2"/>
  </si>
  <si>
    <t>P-2</t>
    <phoneticPr fontId="2"/>
  </si>
  <si>
    <t>専業諸経費集計表</t>
    <rPh sb="0" eb="2">
      <t>センギョウ</t>
    </rPh>
    <rPh sb="2" eb="5">
      <t>ショケイヒ</t>
    </rPh>
    <rPh sb="5" eb="8">
      <t>シュウケイヒョウ</t>
    </rPh>
    <phoneticPr fontId="2"/>
  </si>
  <si>
    <t>改修・新営を選択--&gt;</t>
    <phoneticPr fontId="2"/>
  </si>
  <si>
    <t>改修</t>
    <rPh sb="0" eb="2">
      <t>カイシュウ</t>
    </rPh>
    <phoneticPr fontId="2"/>
  </si>
  <si>
    <t>工事１</t>
    <rPh sb="0" eb="2">
      <t>コウジ</t>
    </rPh>
    <phoneticPr fontId="2"/>
  </si>
  <si>
    <t>内、ﾘｰｽ料</t>
    <rPh sb="0" eb="1">
      <t>ウチ</t>
    </rPh>
    <rPh sb="5" eb="6">
      <t>リョウ</t>
    </rPh>
    <phoneticPr fontId="2"/>
  </si>
  <si>
    <t>内、借地借家料</t>
    <rPh sb="0" eb="1">
      <t>ウチ</t>
    </rPh>
    <rPh sb="2" eb="4">
      <t>シャクチ</t>
    </rPh>
    <rPh sb="4" eb="6">
      <t>シャクヤ</t>
    </rPh>
    <rPh sb="6" eb="7">
      <t>リョウ</t>
    </rPh>
    <phoneticPr fontId="2"/>
  </si>
  <si>
    <t>内、各種負担金</t>
    <rPh sb="0" eb="1">
      <t>ウチ</t>
    </rPh>
    <rPh sb="2" eb="4">
      <t>カクシュ</t>
    </rPh>
    <rPh sb="4" eb="7">
      <t>フタンキン</t>
    </rPh>
    <phoneticPr fontId="2"/>
  </si>
  <si>
    <t>(直接工事費 直接仮設を含む)</t>
    <rPh sb="12" eb="13">
      <t>フク</t>
    </rPh>
    <phoneticPr fontId="2"/>
  </si>
  <si>
    <t>　工 　事 　価 　格</t>
    <phoneticPr fontId="2"/>
  </si>
  <si>
    <t>標準</t>
    <phoneticPr fontId="2"/>
  </si>
  <si>
    <t>（２）改修一般建築工事</t>
    <rPh sb="3" eb="5">
      <t>カイシュウ</t>
    </rPh>
    <rPh sb="5" eb="7">
      <t>イッパン</t>
    </rPh>
    <rPh sb="7" eb="9">
      <t>ケンチク</t>
    </rPh>
    <rPh sb="9" eb="11">
      <t>コウジ</t>
    </rPh>
    <phoneticPr fontId="2"/>
  </si>
  <si>
    <t>（３）警備員費（共通仮設費）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</si>
  <si>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(4-1)率算出共通仮設工事</t>
    <rPh sb="5" eb="6">
      <t>リツ</t>
    </rPh>
    <rPh sb="6" eb="8">
      <t>サンシュツ</t>
    </rPh>
    <phoneticPr fontId="2"/>
  </si>
  <si>
    <t>(4-2)積上げ共通仮設工事※警備員費・率除外項目除く</t>
    <rPh sb="5" eb="7">
      <t>ツミア</t>
    </rPh>
    <rPh sb="8" eb="10">
      <t>キョウツウ</t>
    </rPh>
    <rPh sb="10" eb="12">
      <t>カセツ</t>
    </rPh>
    <rPh sb="12" eb="14">
      <t>コウジ</t>
    </rPh>
    <rPh sb="15" eb="18">
      <t>ケイビイン</t>
    </rPh>
    <rPh sb="18" eb="19">
      <t>ヒ</t>
    </rPh>
    <rPh sb="20" eb="21">
      <t>リツ</t>
    </rPh>
    <rPh sb="21" eb="23">
      <t>ジョガイ</t>
    </rPh>
    <rPh sb="23" eb="25">
      <t>コウモク</t>
    </rPh>
    <rPh sb="25" eb="26">
      <t>ノゾ</t>
    </rPh>
    <phoneticPr fontId="2"/>
  </si>
  <si>
    <t>(5)直接仮設工事（下請経費共）</t>
    <phoneticPr fontId="2"/>
  </si>
  <si>
    <t>(6)建具工事（下請経費共）</t>
    <rPh sb="3" eb="5">
      <t>タテグ</t>
    </rPh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</si>
  <si>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</si>
  <si>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</si>
  <si>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</si>
  <si>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</si>
  <si>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</si>
  <si>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(13)残材処分費及び残土処分費（直工費のみ）</t>
    <rPh sb="17" eb="18">
      <t>チョク</t>
    </rPh>
    <rPh sb="18" eb="19">
      <t>コウ</t>
    </rPh>
    <rPh sb="19" eb="20">
      <t>ヒ</t>
    </rPh>
    <phoneticPr fontId="2"/>
  </si>
  <si>
    <t>(14)残材処分費及び残土処分費(共通仮設)</t>
    <rPh sb="17" eb="19">
      <t>キョウツウ</t>
    </rPh>
    <rPh sb="19" eb="21">
      <t>カセツ</t>
    </rPh>
    <phoneticPr fontId="2"/>
  </si>
  <si>
    <t>(15)リース料</t>
    <phoneticPr fontId="2"/>
  </si>
  <si>
    <t>(16)借地借家料（共通仮設）</t>
    <rPh sb="10" eb="12">
      <t>キョウツウ</t>
    </rPh>
    <rPh sb="12" eb="14">
      <t>カセツ</t>
    </rPh>
    <phoneticPr fontId="2"/>
  </si>
  <si>
    <t>(17)別途算定（直工費）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</si>
  <si>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(18)別途算定（共通仮設）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</si>
  <si>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(19)下水道使用料、各種負担金（共通仮設）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</si>
  <si>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</si>
  <si>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当該率</t>
    <phoneticPr fontId="2"/>
  </si>
  <si>
    <r>
      <t>対象直接工事費</t>
    </r>
    <r>
      <rPr>
        <sz val="10"/>
        <color indexed="36"/>
        <rFont val="Meiryo UI"/>
        <family val="3"/>
        <charset val="128"/>
      </rPr>
      <t>（（9）～(14)、(16)～(19)除く）</t>
    </r>
    <rPh sb="2" eb="4">
      <t>チョクセツ</t>
    </rPh>
    <rPh sb="26" eb="27">
      <t>ノゾ</t>
    </rPh>
    <phoneticPr fontId="2"/>
  </si>
  <si>
    <t>-</t>
    <phoneticPr fontId="2"/>
  </si>
  <si>
    <t>-</t>
    <phoneticPr fontId="2"/>
  </si>
  <si>
    <t>(5)直接仮設工事</t>
    <phoneticPr fontId="2"/>
  </si>
  <si>
    <t>(6)建具工事</t>
    <rPh sb="3" eb="5">
      <t>タテグ</t>
    </rPh>
    <phoneticPr fontId="2"/>
  </si>
  <si>
    <t>(7)場内小運搬費</t>
    <phoneticPr fontId="2"/>
  </si>
  <si>
    <t>(8)〃人力積込み費</t>
    <phoneticPr fontId="2"/>
  </si>
  <si>
    <t>(9)〃搬出準備費</t>
    <phoneticPr fontId="2"/>
  </si>
  <si>
    <t>(10)近隣家屋調査及び地質調査</t>
    <rPh sb="4" eb="6">
      <t>キンリン</t>
    </rPh>
    <rPh sb="6" eb="8">
      <t>カオク</t>
    </rPh>
    <rPh sb="8" eb="10">
      <t>チョウサ</t>
    </rPh>
    <rPh sb="10" eb="11">
      <t>オヨ</t>
    </rPh>
    <rPh sb="12" eb="14">
      <t>チシツ</t>
    </rPh>
    <rPh sb="14" eb="16">
      <t>チョウサ</t>
    </rPh>
    <phoneticPr fontId="2"/>
  </si>
  <si>
    <t>(11)</t>
  </si>
  <si>
    <t>（13）（17）</t>
    <phoneticPr fontId="2"/>
  </si>
  <si>
    <t>-</t>
    <phoneticPr fontId="2"/>
  </si>
  <si>
    <t>(7)場内小運搬費</t>
    <phoneticPr fontId="2"/>
  </si>
  <si>
    <t>(8)〃人力積込み費</t>
    <phoneticPr fontId="2"/>
  </si>
  <si>
    <t>（13）（17）</t>
    <phoneticPr fontId="2"/>
  </si>
  <si>
    <t>諸 経 費 算 定 表 (1)</t>
  </si>
  <si>
    <t>P-4</t>
    <phoneticPr fontId="2"/>
  </si>
  <si>
    <t>※(1)及び(2) ---&gt; 新築・改修工事が一括発注の場合は、合計額に対する各々の率</t>
    <phoneticPr fontId="2"/>
  </si>
  <si>
    <t>(3）警備員費（共通仮設費）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</si>
  <si>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(5)直接仮設工事</t>
    <phoneticPr fontId="2"/>
  </si>
  <si>
    <t>(6)建具工事</t>
    <rPh sb="3" eb="5">
      <t>タテグ</t>
    </rPh>
    <rPh sb="5" eb="7">
      <t>コウジ</t>
    </rPh>
    <phoneticPr fontId="2"/>
  </si>
  <si>
    <t>(8)〃人力積込み費</t>
    <phoneticPr fontId="2"/>
  </si>
  <si>
    <t>(10)近隣家屋調査及び地質調査</t>
    <phoneticPr fontId="2"/>
  </si>
  <si>
    <t>(11)　---</t>
    <phoneticPr fontId="2"/>
  </si>
  <si>
    <t>(12)　---</t>
    <phoneticPr fontId="2"/>
  </si>
  <si>
    <t>(13)～(19)</t>
    <phoneticPr fontId="2"/>
  </si>
  <si>
    <t>当該率---&gt;</t>
    <phoneticPr fontId="2"/>
  </si>
  <si>
    <t>共通仮設費(現場管理費計上対象）</t>
    <rPh sb="0" eb="2">
      <t>キョウツウ</t>
    </rPh>
    <rPh sb="2" eb="4">
      <t>カセツ</t>
    </rPh>
    <rPh sb="4" eb="5">
      <t>ヒ</t>
    </rPh>
    <rPh sb="6" eb="8">
      <t>ゲンバ</t>
    </rPh>
    <rPh sb="8" eb="11">
      <t>カンリヒ</t>
    </rPh>
    <rPh sb="11" eb="13">
      <t>ケイジョウ</t>
    </rPh>
    <rPh sb="13" eb="15">
      <t>タイショウ</t>
    </rPh>
    <phoneticPr fontId="2"/>
  </si>
  <si>
    <t>(3)警備員費（共通仮設費）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</si>
  <si>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(4-1）率対象共通仮設費</t>
    <rPh sb="5" eb="6">
      <t>リツ</t>
    </rPh>
    <rPh sb="6" eb="8">
      <t>タイショウ</t>
    </rPh>
    <rPh sb="8" eb="10">
      <t>キョウツウ</t>
    </rPh>
    <rPh sb="10" eb="12">
      <t>カセツ</t>
    </rPh>
    <rPh sb="12" eb="13">
      <t>ヒ</t>
    </rPh>
    <phoneticPr fontId="2"/>
  </si>
  <si>
    <t>(11)　---</t>
    <phoneticPr fontId="2"/>
  </si>
  <si>
    <t>(12)　---</t>
    <phoneticPr fontId="2"/>
  </si>
  <si>
    <t>(17)包含設備工事　現場管理費</t>
    <rPh sb="4" eb="6">
      <t>ホウガン</t>
    </rPh>
    <rPh sb="6" eb="8">
      <t>セツビ</t>
    </rPh>
    <rPh sb="8" eb="10">
      <t>コウジ</t>
    </rPh>
    <rPh sb="11" eb="13">
      <t>ゲンバ</t>
    </rPh>
    <rPh sb="13" eb="16">
      <t>カンリヒ</t>
    </rPh>
    <phoneticPr fontId="2"/>
  </si>
  <si>
    <t>(13)(14)(15)(16)(19)</t>
    <phoneticPr fontId="2"/>
  </si>
  <si>
    <t>諸 経 費 算 定 表 (2)</t>
  </si>
  <si>
    <t>P-5</t>
    <phoneticPr fontId="2"/>
  </si>
  <si>
    <t>(1)建築工事～(17)別途算定</t>
    <rPh sb="12" eb="14">
      <t>ベット</t>
    </rPh>
    <rPh sb="14" eb="16">
      <t>サンテイ</t>
    </rPh>
    <phoneticPr fontId="2"/>
  </si>
  <si>
    <t>(3-2)～(8)専業工事</t>
    <phoneticPr fontId="2"/>
  </si>
  <si>
    <t>一般建築工事＋その他等</t>
    <phoneticPr fontId="2"/>
  </si>
  <si>
    <t>(3)～(8)専業工事</t>
    <phoneticPr fontId="2"/>
  </si>
  <si>
    <t>Ｋｒ</t>
    <phoneticPr fontId="2"/>
  </si>
  <si>
    <t>Jo</t>
    <phoneticPr fontId="2"/>
  </si>
  <si>
    <t>改修・新営を選択--&gt;</t>
    <phoneticPr fontId="2"/>
  </si>
  <si>
    <t>工事２</t>
    <rPh sb="0" eb="2">
      <t>コウジ</t>
    </rPh>
    <phoneticPr fontId="2"/>
  </si>
  <si>
    <t>工事３</t>
    <rPh sb="0" eb="2">
      <t>コウジ</t>
    </rPh>
    <phoneticPr fontId="2"/>
  </si>
  <si>
    <t>工事４</t>
    <rPh sb="0" eb="2">
      <t>コウジ</t>
    </rPh>
    <phoneticPr fontId="2"/>
  </si>
  <si>
    <t>工事５</t>
    <rPh sb="0" eb="2">
      <t>コウジ</t>
    </rPh>
    <phoneticPr fontId="2"/>
  </si>
  <si>
    <t>工事６</t>
    <rPh sb="0" eb="2">
      <t>コウジ</t>
    </rPh>
    <phoneticPr fontId="2"/>
  </si>
  <si>
    <t>内、警備員費</t>
    <rPh sb="0" eb="1">
      <t>ウチ</t>
    </rPh>
    <rPh sb="2" eb="5">
      <t>ケイビイン</t>
    </rPh>
    <rPh sb="5" eb="6">
      <t>ヒ</t>
    </rPh>
    <phoneticPr fontId="2"/>
  </si>
  <si>
    <t>　純　工　事　費　　　　　　合　　計</t>
    <phoneticPr fontId="2"/>
  </si>
  <si>
    <t>(5)直接仮設工事（下請経費共）</t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</si>
  <si>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</si>
  <si>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</si>
  <si>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</si>
  <si>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</si>
  <si>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</si>
  <si>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(15)リース料</t>
    <phoneticPr fontId="2"/>
  </si>
  <si>
    <t>P-7</t>
    <phoneticPr fontId="2"/>
  </si>
  <si>
    <t>標準</t>
    <phoneticPr fontId="2"/>
  </si>
  <si>
    <t>-</t>
    <phoneticPr fontId="2"/>
  </si>
  <si>
    <t>（13）（17）</t>
    <phoneticPr fontId="2"/>
  </si>
  <si>
    <t>-</t>
    <phoneticPr fontId="2"/>
  </si>
  <si>
    <t>当該率---&gt;</t>
    <phoneticPr fontId="2"/>
  </si>
  <si>
    <t>(5)直接仮設工事</t>
    <phoneticPr fontId="2"/>
  </si>
  <si>
    <t>(8)〃人力積込み費</t>
    <phoneticPr fontId="2"/>
  </si>
  <si>
    <t>P-8</t>
    <phoneticPr fontId="2"/>
  </si>
  <si>
    <t>(11)　---</t>
    <phoneticPr fontId="2"/>
  </si>
  <si>
    <t>(13)～(19)</t>
    <phoneticPr fontId="2"/>
  </si>
  <si>
    <t>当該率---&gt;</t>
    <phoneticPr fontId="2"/>
  </si>
  <si>
    <t>(11)　---</t>
    <phoneticPr fontId="2"/>
  </si>
  <si>
    <t>(13)(14)(15)(16)(19)</t>
    <phoneticPr fontId="2"/>
  </si>
  <si>
    <t>P-9</t>
    <phoneticPr fontId="2"/>
  </si>
  <si>
    <t>一般管理費等対象工事原価（下水道,専業を除く）</t>
    <phoneticPr fontId="2"/>
  </si>
  <si>
    <t>(3-2)～(8)専業工事</t>
    <phoneticPr fontId="2"/>
  </si>
  <si>
    <t>一般建築工事＋その他等</t>
    <phoneticPr fontId="2"/>
  </si>
  <si>
    <t>改修</t>
  </si>
  <si>
    <t>工事1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</si>
  <si>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</si>
  <si>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</si>
  <si>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工事4</t>
    <rPh sb="0" eb="2">
      <t>コウジ</t>
    </rPh>
    <phoneticPr fontId="2"/>
  </si>
  <si>
    <t>工事5</t>
    <rPh sb="0" eb="2">
      <t>コウジ</t>
    </rPh>
    <phoneticPr fontId="2"/>
  </si>
  <si>
    <t>可動式ホーム柵設置に伴う建築工事</t>
  </si>
  <si>
    <t>隙間解消工事</t>
  </si>
  <si>
    <t>列車停止位置変更に伴う建築工事</t>
  </si>
  <si>
    <t>床仕上改造その他工事</t>
  </si>
  <si>
    <t>整列乗車対策工事</t>
  </si>
  <si>
    <t>ア）東梅田駅</t>
    <phoneticPr fontId="2"/>
  </si>
  <si>
    <t>イ）堺筋本町駅</t>
    <phoneticPr fontId="2"/>
  </si>
  <si>
    <t>工事6</t>
    <rPh sb="0" eb="2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</si>
  <si>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</si>
  <si>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</si>
  <si>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東梅田外１駅可動式ホーム柵設置に伴う建築その他工事</t>
    <phoneticPr fontId="2"/>
  </si>
  <si>
    <t>ア)東梅田駅の部</t>
    <rPh sb="2" eb="6">
      <t>ヒガシウメダエキ</t>
    </rPh>
    <rPh sb="7" eb="8">
      <t>ブ</t>
    </rPh>
    <phoneticPr fontId="2"/>
  </si>
  <si>
    <t xml:space="preserve">  計</t>
  </si>
  <si>
    <t>イ)6号線堺筋本町駅の部</t>
    <rPh sb="3" eb="5">
      <t>ゴウセン</t>
    </rPh>
    <rPh sb="5" eb="9">
      <t>サカイスジホンマチ</t>
    </rPh>
    <rPh sb="9" eb="10">
      <t>エキ</t>
    </rPh>
    <rPh sb="11" eb="12">
      <t>ブ</t>
    </rPh>
    <phoneticPr fontId="2"/>
  </si>
  <si>
    <t>可動式ホーム柵設置に伴う建築工事</t>
    <rPh sb="0" eb="3">
      <t>カドウシキ</t>
    </rPh>
    <rPh sb="6" eb="7">
      <t>サク</t>
    </rPh>
    <rPh sb="7" eb="9">
      <t>セッチ</t>
    </rPh>
    <rPh sb="10" eb="11">
      <t>トモナ</t>
    </rPh>
    <rPh sb="12" eb="14">
      <t>ケンチク</t>
    </rPh>
    <rPh sb="14" eb="16">
      <t>コウジ</t>
    </rPh>
    <phoneticPr fontId="2"/>
  </si>
  <si>
    <t>隙間解消工事</t>
    <rPh sb="0" eb="2">
      <t>スキマ</t>
    </rPh>
    <rPh sb="2" eb="4">
      <t>カイショウ</t>
    </rPh>
    <rPh sb="4" eb="6">
      <t>コウジ</t>
    </rPh>
    <phoneticPr fontId="2"/>
  </si>
  <si>
    <t>列車停止位置変更に伴う建築工事</t>
    <rPh sb="0" eb="2">
      <t>レッシャ</t>
    </rPh>
    <rPh sb="2" eb="4">
      <t>テイシ</t>
    </rPh>
    <rPh sb="4" eb="6">
      <t>イチ</t>
    </rPh>
    <rPh sb="6" eb="8">
      <t>ヘンコウ</t>
    </rPh>
    <rPh sb="9" eb="10">
      <t>トモナ</t>
    </rPh>
    <rPh sb="11" eb="13">
      <t>ケンチク</t>
    </rPh>
    <rPh sb="13" eb="15">
      <t>コウジ</t>
    </rPh>
    <phoneticPr fontId="2"/>
  </si>
  <si>
    <t>整列乗車対策工事</t>
    <rPh sb="0" eb="2">
      <t>セイレツ</t>
    </rPh>
    <rPh sb="2" eb="4">
      <t>ジョウシャ</t>
    </rPh>
    <rPh sb="4" eb="6">
      <t>タイサク</t>
    </rPh>
    <rPh sb="6" eb="8">
      <t>コウジ</t>
    </rPh>
    <phoneticPr fontId="2"/>
  </si>
  <si>
    <t>小計</t>
    <rPh sb="0" eb="2">
      <t>ショウケイ</t>
    </rPh>
    <phoneticPr fontId="2"/>
  </si>
  <si>
    <t>合　　計</t>
  </si>
  <si>
    <t>由肥</t>
    <rPh sb="0" eb="1">
      <t>ユ</t>
    </rPh>
    <rPh sb="1" eb="2">
      <t>ヒ</t>
    </rPh>
    <phoneticPr fontId="2"/>
  </si>
  <si>
    <t>鹿島</t>
    <rPh sb="0" eb="2">
      <t>カシマ</t>
    </rPh>
    <phoneticPr fontId="2"/>
  </si>
  <si>
    <t>梶浦</t>
    <rPh sb="0" eb="2">
      <t>カジウラ</t>
    </rPh>
    <phoneticPr fontId="2"/>
  </si>
  <si>
    <t>第　2　回　設　計　変　更　工　事　費　内　訳　書</t>
    <rPh sb="0" eb="1">
      <t>ダイ</t>
    </rPh>
    <rPh sb="4" eb="5">
      <t>カイ</t>
    </rPh>
    <rPh sb="6" eb="7">
      <t>セツ</t>
    </rPh>
    <rPh sb="8" eb="9">
      <t>ケイ</t>
    </rPh>
    <rPh sb="10" eb="11">
      <t>ヘン</t>
    </rPh>
    <rPh sb="12" eb="13">
      <t>サラ</t>
    </rPh>
    <rPh sb="14" eb="15">
      <t>タクミ</t>
    </rPh>
    <rPh sb="16" eb="17">
      <t>コト</t>
    </rPh>
    <rPh sb="18" eb="19">
      <t>ヒ</t>
    </rPh>
    <rPh sb="20" eb="21">
      <t>ウチ</t>
    </rPh>
    <rPh sb="22" eb="23">
      <t>ヤク</t>
    </rPh>
    <rPh sb="24" eb="25">
      <t>ショ</t>
    </rPh>
    <phoneticPr fontId="2"/>
  </si>
  <si>
    <t>D2191004</t>
    <phoneticPr fontId="2"/>
  </si>
  <si>
    <t>金属工事   見積り金額比較表</t>
    <rPh sb="0" eb="2">
      <t>キンゾク</t>
    </rPh>
    <phoneticPr fontId="2"/>
  </si>
  <si>
    <t>【東梅田駅】</t>
    <rPh sb="1" eb="5">
      <t>ヒガシウメダエキ</t>
    </rPh>
    <phoneticPr fontId="2"/>
  </si>
  <si>
    <t>A:㈱佐渡島</t>
    <rPh sb="3" eb="5">
      <t>サド</t>
    </rPh>
    <rPh sb="5" eb="6">
      <t>シマ</t>
    </rPh>
    <phoneticPr fontId="2"/>
  </si>
  <si>
    <t>B:</t>
    <phoneticPr fontId="2"/>
  </si>
  <si>
    <t>ヶ所</t>
    <rPh sb="1" eb="2">
      <t>ショ</t>
    </rPh>
    <phoneticPr fontId="2"/>
  </si>
  <si>
    <t>W350×L910×H40</t>
    <phoneticPr fontId="2"/>
  </si>
  <si>
    <t>ビス止め</t>
    <rPh sb="2" eb="3">
      <t>ト</t>
    </rPh>
    <phoneticPr fontId="2"/>
  </si>
  <si>
    <t>取付ｱﾝｸﾞﾙ：L-25×25×2.3　L=50</t>
    <rPh sb="0" eb="2">
      <t>トリツケ</t>
    </rPh>
    <phoneticPr fontId="2"/>
  </si>
  <si>
    <t>床板ｽﾁｰﾙPL-3.2×W350×L900</t>
    <rPh sb="0" eb="2">
      <t>ユカイタ</t>
    </rPh>
    <phoneticPr fontId="2"/>
  </si>
  <si>
    <t>錆止め2回塗り共</t>
    <rPh sb="0" eb="1">
      <t>サビ</t>
    </rPh>
    <rPh sb="1" eb="2">
      <t>ド</t>
    </rPh>
    <rPh sb="4" eb="5">
      <t>カイ</t>
    </rPh>
    <rPh sb="5" eb="6">
      <t>ヌ</t>
    </rPh>
    <rPh sb="7" eb="8">
      <t>トモ</t>
    </rPh>
    <phoneticPr fontId="2"/>
  </si>
  <si>
    <t>鼻先隙間ゴム取付金物</t>
    <rPh sb="0" eb="2">
      <t>ハナサキ</t>
    </rPh>
    <rPh sb="2" eb="4">
      <t>スキマ</t>
    </rPh>
    <rPh sb="6" eb="8">
      <t>トリツケ</t>
    </rPh>
    <rPh sb="8" eb="10">
      <t>カナモノ</t>
    </rPh>
    <phoneticPr fontId="2"/>
  </si>
  <si>
    <t>ステンレス製 下地・アンカー共</t>
    <rPh sb="5" eb="6">
      <t>セイ</t>
    </rPh>
    <rPh sb="7" eb="9">
      <t>シタジ</t>
    </rPh>
    <rPh sb="14" eb="15">
      <t>トモ</t>
    </rPh>
    <phoneticPr fontId="2"/>
  </si>
  <si>
    <t>L=3295</t>
  </si>
  <si>
    <t>L=2635</t>
  </si>
  <si>
    <t>【東梅田駅】</t>
    <rPh sb="1" eb="5">
      <t>ヒガシウメダエキ</t>
    </rPh>
    <phoneticPr fontId="2"/>
  </si>
  <si>
    <t>【堺筋本町駅】</t>
    <rPh sb="1" eb="6">
      <t>サカイスジホンマチエキ</t>
    </rPh>
    <phoneticPr fontId="2"/>
  </si>
  <si>
    <t>運転手・車掌扉開口部</t>
    <rPh sb="0" eb="3">
      <t>ウンテンシュ</t>
    </rPh>
    <rPh sb="4" eb="6">
      <t>シャショウ</t>
    </rPh>
    <rPh sb="6" eb="7">
      <t>トビラ</t>
    </rPh>
    <rPh sb="7" eb="10">
      <t>カイコウブ</t>
    </rPh>
    <phoneticPr fontId="2"/>
  </si>
  <si>
    <t>鼻先ｽﾃﾝﾚｽプレート</t>
    <rPh sb="0" eb="2">
      <t>ハナサキ</t>
    </rPh>
    <phoneticPr fontId="2"/>
  </si>
  <si>
    <t>SUSL6.0　L1100×H150</t>
    <phoneticPr fontId="2"/>
  </si>
  <si>
    <t>SUS-50×50×4　L=40　4カ所</t>
    <rPh sb="19" eb="20">
      <t>ショ</t>
    </rPh>
    <phoneticPr fontId="2"/>
  </si>
  <si>
    <t>固定ボルトφ12</t>
    <rPh sb="0" eb="2">
      <t>コテイ</t>
    </rPh>
    <phoneticPr fontId="2"/>
  </si>
  <si>
    <t>SUS-30×30×3　L=475　4カ所</t>
    <rPh sb="20" eb="21">
      <t>ショ</t>
    </rPh>
    <phoneticPr fontId="2"/>
  </si>
  <si>
    <t>固定アンカー2-φ12</t>
    <rPh sb="0" eb="2">
      <t>コテイ</t>
    </rPh>
    <phoneticPr fontId="2"/>
  </si>
  <si>
    <t>SUSM10　六角ボルト</t>
    <rPh sb="7" eb="9">
      <t>ロッカク</t>
    </rPh>
    <phoneticPr fontId="2"/>
  </si>
  <si>
    <t>あと施工ｱﾝｶｰ　2-M10</t>
    <rPh sb="2" eb="4">
      <t>セコウ</t>
    </rPh>
    <phoneticPr fontId="2"/>
  </si>
  <si>
    <t>金属工事   見積金額比較表</t>
    <phoneticPr fontId="2"/>
  </si>
  <si>
    <t>連結部扉開口部</t>
    <rPh sb="0" eb="2">
      <t>レンケツ</t>
    </rPh>
    <rPh sb="2" eb="3">
      <t>ブ</t>
    </rPh>
    <rPh sb="3" eb="4">
      <t>トビラ</t>
    </rPh>
    <rPh sb="4" eb="7">
      <t>カイコウブ</t>
    </rPh>
    <phoneticPr fontId="2"/>
  </si>
  <si>
    <t>連結部扉部鼻先架台</t>
    <rPh sb="0" eb="2">
      <t>レンケツ</t>
    </rPh>
    <rPh sb="2" eb="3">
      <t>ブ</t>
    </rPh>
    <rPh sb="3" eb="4">
      <t>トビラ</t>
    </rPh>
    <rPh sb="4" eb="5">
      <t>ブ</t>
    </rPh>
    <rPh sb="5" eb="7">
      <t>ハナサキ</t>
    </rPh>
    <rPh sb="7" eb="9">
      <t>カダイ</t>
    </rPh>
    <phoneticPr fontId="2"/>
  </si>
  <si>
    <t>SUSL6.0　L950×H150</t>
    <phoneticPr fontId="2"/>
  </si>
  <si>
    <t>3-M10　タップネジ切</t>
    <rPh sb="11" eb="12">
      <t>キリ</t>
    </rPh>
    <phoneticPr fontId="2"/>
  </si>
  <si>
    <t>4-M10　タップネジ切</t>
    <rPh sb="11" eb="12">
      <t>キリ</t>
    </rPh>
    <phoneticPr fontId="2"/>
  </si>
  <si>
    <t>金属工事</t>
    <rPh sb="0" eb="2">
      <t>キンゾク</t>
    </rPh>
    <rPh sb="2" eb="4">
      <t>コウジ</t>
    </rPh>
    <phoneticPr fontId="2"/>
  </si>
  <si>
    <t>下地ｽﾁｰﾙ☐-25×25×1.6　＠300</t>
    <rPh sb="0" eb="2">
      <t>シタジ</t>
    </rPh>
    <phoneticPr fontId="2"/>
  </si>
  <si>
    <t>一般管理費等</t>
    <phoneticPr fontId="2"/>
  </si>
  <si>
    <t>現場管理費</t>
    <rPh sb="0" eb="2">
      <t>ゲンバ</t>
    </rPh>
    <rPh sb="2" eb="5">
      <t>カンリヒ</t>
    </rPh>
    <phoneticPr fontId="2"/>
  </si>
  <si>
    <t>落札率R=</t>
    <rPh sb="0" eb="2">
      <t>ラクサツ</t>
    </rPh>
    <rPh sb="2" eb="3">
      <t>リツ</t>
    </rPh>
    <phoneticPr fontId="2"/>
  </si>
  <si>
    <t>㈱佐渡島</t>
    <phoneticPr fontId="2"/>
  </si>
  <si>
    <t>天井ｽﾊﾟﾝﾄﾞﾚﾙ再用</t>
  </si>
  <si>
    <t>取外し　W150</t>
  </si>
  <si>
    <t>㎡</t>
  </si>
  <si>
    <t>再取付け　W150</t>
  </si>
  <si>
    <t>内装工事</t>
  </si>
  <si>
    <t>天井化粧石膏ボ－ド張</t>
  </si>
  <si>
    <t>厚9.5   突付け工法  不燃</t>
  </si>
  <si>
    <t>GB-D　別冊仕様</t>
  </si>
  <si>
    <t>繊維入りセメント板</t>
  </si>
  <si>
    <t>天井　座金加算</t>
  </si>
  <si>
    <t>全数</t>
  </si>
  <si>
    <t>天井 厚4 目透し工法</t>
  </si>
  <si>
    <t>不燃認定品</t>
  </si>
  <si>
    <t>ユニット及びその他の工事</t>
  </si>
  <si>
    <t>点字ブロック</t>
    <phoneticPr fontId="2"/>
  </si>
  <si>
    <t>m</t>
    <phoneticPr fontId="2"/>
  </si>
  <si>
    <t>部分撤去工事</t>
  </si>
  <si>
    <t>隙間解消用鼻木</t>
    <rPh sb="0" eb="2">
      <t>スキマ</t>
    </rPh>
    <rPh sb="2" eb="4">
      <t>カイショウ</t>
    </rPh>
    <rPh sb="4" eb="5">
      <t>ヨウ</t>
    </rPh>
    <rPh sb="5" eb="6">
      <t>ハナ</t>
    </rPh>
    <rPh sb="6" eb="7">
      <t>キ</t>
    </rPh>
    <phoneticPr fontId="2"/>
  </si>
  <si>
    <t>ｍ</t>
    <phoneticPr fontId="2"/>
  </si>
  <si>
    <t>鼻先モルタル</t>
    <rPh sb="0" eb="2">
      <t>ハナサキ</t>
    </rPh>
    <phoneticPr fontId="2"/>
  </si>
  <si>
    <t>㎡</t>
    <phoneticPr fontId="2"/>
  </si>
  <si>
    <t>600*600</t>
    <phoneticPr fontId="2"/>
  </si>
  <si>
    <t>塗装工事</t>
  </si>
  <si>
    <t>素地ごしらえ</t>
  </si>
  <si>
    <t>ボ―ド面一般       Ｂ種</t>
  </si>
  <si>
    <t>A種以外</t>
  </si>
  <si>
    <t>ＥＰ塗り   天井面</t>
  </si>
  <si>
    <t>ﾎﾞｰﾄﾞ面 Ｂ種</t>
  </si>
  <si>
    <t xml:space="preserve">標準タイプ </t>
  </si>
  <si>
    <t>天井ﾛｯｸｳ-ﾙ吸音板張</t>
    <phoneticPr fontId="2"/>
  </si>
  <si>
    <t>厚12(PB[GB-NC]厚9.5共)</t>
    <phoneticPr fontId="2"/>
  </si>
  <si>
    <t>m2</t>
    <phoneticPr fontId="2"/>
  </si>
  <si>
    <t>不燃</t>
    <phoneticPr fontId="2"/>
  </si>
  <si>
    <t>繊維入りセメント板</t>
    <phoneticPr fontId="2"/>
  </si>
  <si>
    <t>天井 厚4 目透し工法</t>
    <phoneticPr fontId="2"/>
  </si>
  <si>
    <t>m2</t>
    <phoneticPr fontId="2"/>
  </si>
  <si>
    <t>不燃認定品</t>
    <phoneticPr fontId="2"/>
  </si>
  <si>
    <t>繊維入りセメント板</t>
    <phoneticPr fontId="2"/>
  </si>
  <si>
    <t>天井 厚4 目透し工法</t>
    <phoneticPr fontId="2"/>
  </si>
  <si>
    <t>m2</t>
    <phoneticPr fontId="2"/>
  </si>
  <si>
    <t>不燃認定品</t>
    <phoneticPr fontId="2"/>
  </si>
  <si>
    <t>鼻先モルタルH＝150</t>
    <rPh sb="0" eb="2">
      <t>ハナサキ</t>
    </rPh>
    <phoneticPr fontId="2"/>
  </si>
  <si>
    <t>㎡</t>
    <phoneticPr fontId="2"/>
  </si>
  <si>
    <t>ユニット及びその他の工事</t>
    <rPh sb="4" eb="5">
      <t>オヨ</t>
    </rPh>
    <rPh sb="8" eb="9">
      <t>タ</t>
    </rPh>
    <rPh sb="10" eb="12">
      <t>コウジ</t>
    </rPh>
    <phoneticPr fontId="2"/>
  </si>
  <si>
    <t>1800×50</t>
    <phoneticPr fontId="2"/>
  </si>
  <si>
    <t>1800×50</t>
    <phoneticPr fontId="2"/>
  </si>
  <si>
    <t>本</t>
    <phoneticPr fontId="2"/>
  </si>
  <si>
    <t>整列乗車シート（青）</t>
    <phoneticPr fontId="2"/>
  </si>
  <si>
    <t>900×50</t>
    <phoneticPr fontId="2"/>
  </si>
  <si>
    <t>整列乗車シート（グレー）</t>
    <phoneticPr fontId="2"/>
  </si>
  <si>
    <t>矢印（赤）</t>
    <phoneticPr fontId="2"/>
  </si>
  <si>
    <t>φ200</t>
    <phoneticPr fontId="2"/>
  </si>
  <si>
    <t>矢印（青）</t>
    <phoneticPr fontId="2"/>
  </si>
  <si>
    <t>φ300</t>
    <phoneticPr fontId="2"/>
  </si>
  <si>
    <t>φ300</t>
    <phoneticPr fontId="2"/>
  </si>
  <si>
    <t>矢印（グレー）</t>
    <phoneticPr fontId="2"/>
  </si>
  <si>
    <t>φ200</t>
    <phoneticPr fontId="2"/>
  </si>
  <si>
    <t>矢印（グレー）</t>
    <phoneticPr fontId="2"/>
  </si>
  <si>
    <t>枚</t>
    <phoneticPr fontId="2"/>
  </si>
  <si>
    <t>金属工事   見積り金額比較表</t>
    <phoneticPr fontId="2"/>
  </si>
  <si>
    <t>可動柵段差解消用L型金物</t>
    <rPh sb="0" eb="2">
      <t>カドウ</t>
    </rPh>
    <rPh sb="2" eb="3">
      <t>サク</t>
    </rPh>
    <rPh sb="3" eb="5">
      <t>ダンサ</t>
    </rPh>
    <rPh sb="5" eb="7">
      <t>カイショウ</t>
    </rPh>
    <rPh sb="7" eb="8">
      <t>ヨウ</t>
    </rPh>
    <rPh sb="9" eb="10">
      <t>ガタ</t>
    </rPh>
    <rPh sb="10" eb="12">
      <t>カナモノ</t>
    </rPh>
    <phoneticPr fontId="2"/>
  </si>
  <si>
    <t>仮設安全柵上り先頭</t>
    <rPh sb="0" eb="2">
      <t>カセツ</t>
    </rPh>
    <rPh sb="2" eb="4">
      <t>アンゼン</t>
    </rPh>
    <rPh sb="4" eb="5">
      <t>サク</t>
    </rPh>
    <rPh sb="5" eb="6">
      <t>ノボ</t>
    </rPh>
    <rPh sb="7" eb="9">
      <t>セントウ</t>
    </rPh>
    <phoneticPr fontId="2"/>
  </si>
  <si>
    <t>仮設安全柵上り後方</t>
    <rPh sb="0" eb="2">
      <t>カセツ</t>
    </rPh>
    <rPh sb="2" eb="4">
      <t>アンゼン</t>
    </rPh>
    <rPh sb="4" eb="5">
      <t>サク</t>
    </rPh>
    <rPh sb="5" eb="6">
      <t>ノボ</t>
    </rPh>
    <rPh sb="7" eb="9">
      <t>コウホウ</t>
    </rPh>
    <phoneticPr fontId="2"/>
  </si>
  <si>
    <t>仮設安全柵下り先頭</t>
    <rPh sb="0" eb="2">
      <t>カセツ</t>
    </rPh>
    <rPh sb="2" eb="4">
      <t>アンゼン</t>
    </rPh>
    <rPh sb="4" eb="5">
      <t>サク</t>
    </rPh>
    <rPh sb="5" eb="6">
      <t>クダ</t>
    </rPh>
    <rPh sb="7" eb="9">
      <t>セントウ</t>
    </rPh>
    <phoneticPr fontId="2"/>
  </si>
  <si>
    <t>仮設安全柵下り後方</t>
    <rPh sb="0" eb="2">
      <t>カセツ</t>
    </rPh>
    <rPh sb="2" eb="4">
      <t>アンゼン</t>
    </rPh>
    <rPh sb="4" eb="5">
      <t>サク</t>
    </rPh>
    <rPh sb="5" eb="6">
      <t>クダ</t>
    </rPh>
    <rPh sb="7" eb="9">
      <t>コウホウ</t>
    </rPh>
    <phoneticPr fontId="2"/>
  </si>
  <si>
    <t>ユニット及びその他の工事   見積り金額比較表</t>
    <phoneticPr fontId="2"/>
  </si>
  <si>
    <t>整列乗車シート（赤）</t>
    <rPh sb="0" eb="2">
      <t>セイレツ</t>
    </rPh>
    <rPh sb="2" eb="4">
      <t>ジョウシャ</t>
    </rPh>
    <rPh sb="8" eb="9">
      <t>アカ</t>
    </rPh>
    <phoneticPr fontId="2"/>
  </si>
  <si>
    <t>本</t>
    <rPh sb="0" eb="1">
      <t>ホン</t>
    </rPh>
    <phoneticPr fontId="2"/>
  </si>
  <si>
    <t>整列乗車シート（青）</t>
    <rPh sb="0" eb="2">
      <t>セイレツ</t>
    </rPh>
    <rPh sb="2" eb="4">
      <t>ジョウシャ</t>
    </rPh>
    <rPh sb="8" eb="9">
      <t>アオ</t>
    </rPh>
    <phoneticPr fontId="2"/>
  </si>
  <si>
    <t>900×50</t>
    <phoneticPr fontId="2"/>
  </si>
  <si>
    <t>整列乗車シート（グレー）</t>
    <rPh sb="0" eb="2">
      <t>セイレツ</t>
    </rPh>
    <rPh sb="2" eb="4">
      <t>ジョウシャ</t>
    </rPh>
    <phoneticPr fontId="2"/>
  </si>
  <si>
    <t>矢印（赤）</t>
    <rPh sb="0" eb="2">
      <t>ヤジルシ</t>
    </rPh>
    <rPh sb="3" eb="4">
      <t>アカ</t>
    </rPh>
    <phoneticPr fontId="2"/>
  </si>
  <si>
    <t>枚</t>
    <rPh sb="0" eb="1">
      <t>マイ</t>
    </rPh>
    <phoneticPr fontId="2"/>
  </si>
  <si>
    <t>矢印（青）</t>
    <rPh sb="0" eb="2">
      <t>ヤジルシ</t>
    </rPh>
    <rPh sb="3" eb="4">
      <t>アオ</t>
    </rPh>
    <phoneticPr fontId="2"/>
  </si>
  <si>
    <t>φ300</t>
    <phoneticPr fontId="2"/>
  </si>
  <si>
    <t>矢印（グレー）</t>
    <rPh sb="0" eb="2">
      <t>ヤジルシ</t>
    </rPh>
    <phoneticPr fontId="2"/>
  </si>
  <si>
    <t>φ200</t>
    <phoneticPr fontId="2"/>
  </si>
  <si>
    <t>施工費</t>
    <rPh sb="0" eb="2">
      <t>セコウ</t>
    </rPh>
    <rPh sb="2" eb="3">
      <t>ヒ</t>
    </rPh>
    <phoneticPr fontId="2"/>
  </si>
  <si>
    <t>非常停止案内標示板</t>
    <rPh sb="0" eb="2">
      <t>ヒジョウ</t>
    </rPh>
    <rPh sb="2" eb="4">
      <t>テイシ</t>
    </rPh>
    <rPh sb="4" eb="8">
      <t>アンナイヒョウジ</t>
    </rPh>
    <rPh sb="8" eb="9">
      <t>バン</t>
    </rPh>
    <phoneticPr fontId="2"/>
  </si>
  <si>
    <t>床案内標示（矢印）</t>
    <rPh sb="0" eb="1">
      <t>ユカ</t>
    </rPh>
    <rPh sb="1" eb="3">
      <t>アンナイ</t>
    </rPh>
    <rPh sb="3" eb="5">
      <t>ヒョウジ</t>
    </rPh>
    <rPh sb="6" eb="8">
      <t>ヤジルシ</t>
    </rPh>
    <phoneticPr fontId="2"/>
  </si>
  <si>
    <t>防滑性シート</t>
    <rPh sb="0" eb="1">
      <t>ボウ</t>
    </rPh>
    <rPh sb="1" eb="2">
      <t>スベ</t>
    </rPh>
    <rPh sb="2" eb="3">
      <t>セイ</t>
    </rPh>
    <phoneticPr fontId="2"/>
  </si>
  <si>
    <t>350×910　ｔ＝2.5</t>
    <phoneticPr fontId="2"/>
  </si>
  <si>
    <t>枚</t>
    <phoneticPr fontId="2"/>
  </si>
  <si>
    <t>施工費</t>
    <phoneticPr fontId="2"/>
  </si>
  <si>
    <t>式</t>
    <phoneticPr fontId="2"/>
  </si>
  <si>
    <t>非電照サイン（その他）</t>
  </si>
  <si>
    <t>特</t>
    <rPh sb="0" eb="1">
      <t>トク</t>
    </rPh>
    <phoneticPr fontId="2"/>
  </si>
  <si>
    <t>元設計</t>
    <rPh sb="0" eb="1">
      <t>モト</t>
    </rPh>
    <rPh sb="1" eb="3">
      <t>セッケイ</t>
    </rPh>
    <phoneticPr fontId="2"/>
  </si>
  <si>
    <t>本</t>
    <phoneticPr fontId="2"/>
  </si>
  <si>
    <t>整列乗車シート（グレー）</t>
    <phoneticPr fontId="2"/>
  </si>
  <si>
    <t>本</t>
    <phoneticPr fontId="2"/>
  </si>
  <si>
    <t>本</t>
    <phoneticPr fontId="2"/>
  </si>
  <si>
    <t>枚</t>
    <phoneticPr fontId="2"/>
  </si>
  <si>
    <t>元設計701</t>
    <rPh sb="0" eb="1">
      <t>モト</t>
    </rPh>
    <rPh sb="1" eb="3">
      <t>セッケイ</t>
    </rPh>
    <phoneticPr fontId="2"/>
  </si>
  <si>
    <t>元設計702</t>
    <rPh sb="0" eb="1">
      <t>モト</t>
    </rPh>
    <rPh sb="1" eb="3">
      <t>セッケイ</t>
    </rPh>
    <phoneticPr fontId="2"/>
  </si>
  <si>
    <t>元設計703</t>
    <rPh sb="0" eb="1">
      <t>モト</t>
    </rPh>
    <rPh sb="1" eb="3">
      <t>セッケイ</t>
    </rPh>
    <phoneticPr fontId="2"/>
  </si>
  <si>
    <t>元設計704</t>
    <rPh sb="0" eb="1">
      <t>モト</t>
    </rPh>
    <rPh sb="1" eb="3">
      <t>セッケイ</t>
    </rPh>
    <phoneticPr fontId="2"/>
  </si>
  <si>
    <t>元設計705</t>
    <rPh sb="0" eb="1">
      <t>モト</t>
    </rPh>
    <rPh sb="1" eb="3">
      <t>セッケイ</t>
    </rPh>
    <phoneticPr fontId="2"/>
  </si>
  <si>
    <t>元設計706</t>
    <rPh sb="0" eb="1">
      <t>モト</t>
    </rPh>
    <rPh sb="1" eb="3">
      <t>セッケイ</t>
    </rPh>
    <phoneticPr fontId="2"/>
  </si>
  <si>
    <t>元設計707</t>
    <rPh sb="0" eb="1">
      <t>モト</t>
    </rPh>
    <rPh sb="1" eb="3">
      <t>セッケイ</t>
    </rPh>
    <phoneticPr fontId="2"/>
  </si>
  <si>
    <t>元設計708</t>
    <rPh sb="0" eb="1">
      <t>モト</t>
    </rPh>
    <rPh sb="1" eb="3">
      <t>セッケイ</t>
    </rPh>
    <phoneticPr fontId="2"/>
  </si>
  <si>
    <t>元設計709より㎡換算</t>
    <rPh sb="0" eb="1">
      <t>モト</t>
    </rPh>
    <rPh sb="1" eb="3">
      <t>セッケイ</t>
    </rPh>
    <rPh sb="9" eb="11">
      <t>カンザン</t>
    </rPh>
    <phoneticPr fontId="2"/>
  </si>
  <si>
    <t>貼付タイプ    のり付</t>
    <phoneticPr fontId="2"/>
  </si>
  <si>
    <t>300×300</t>
    <phoneticPr fontId="2"/>
  </si>
  <si>
    <t>点字ブロック　ホーム先端用</t>
    <phoneticPr fontId="2"/>
  </si>
  <si>
    <t>貼付タイプ　　のり付</t>
    <phoneticPr fontId="2"/>
  </si>
  <si>
    <t>ｍ</t>
    <phoneticPr fontId="2"/>
  </si>
  <si>
    <t>120*300　線1条　ﾎｰﾑ先端用</t>
    <phoneticPr fontId="2"/>
  </si>
  <si>
    <t>点字ブロック</t>
    <phoneticPr fontId="2"/>
  </si>
  <si>
    <t>貼付タイプ    のり付</t>
    <phoneticPr fontId="2"/>
  </si>
  <si>
    <t>m</t>
    <phoneticPr fontId="2"/>
  </si>
  <si>
    <t>300×300</t>
    <phoneticPr fontId="2"/>
  </si>
  <si>
    <t>貼付タイプ　　のり付</t>
    <phoneticPr fontId="2"/>
  </si>
  <si>
    <t>ｍ</t>
    <phoneticPr fontId="2"/>
  </si>
  <si>
    <t>120*300　線1条　ﾎｰﾑ先端用</t>
    <phoneticPr fontId="2"/>
  </si>
  <si>
    <t>タイル工事</t>
  </si>
  <si>
    <t>タイル工事</t>
    <rPh sb="3" eb="5">
      <t>コウジ</t>
    </rPh>
    <phoneticPr fontId="2"/>
  </si>
  <si>
    <t>磁器質タイル</t>
    <rPh sb="0" eb="3">
      <t>ジキシツ</t>
    </rPh>
    <phoneticPr fontId="2"/>
  </si>
  <si>
    <t>300×600一晩施工</t>
    <rPh sb="7" eb="9">
      <t>ヒトバン</t>
    </rPh>
    <rPh sb="9" eb="11">
      <t>セコウ</t>
    </rPh>
    <phoneticPr fontId="2"/>
  </si>
  <si>
    <t>左官工事</t>
  </si>
  <si>
    <t>軽鉄天井下地補強 JIS19型</t>
    <phoneticPr fontId="2"/>
  </si>
  <si>
    <t>亜鉛  600角 天井点検口用</t>
    <phoneticPr fontId="2"/>
  </si>
  <si>
    <t>ヵ所</t>
    <phoneticPr fontId="2"/>
  </si>
  <si>
    <t>スパンドレル切込み別途</t>
    <phoneticPr fontId="2"/>
  </si>
  <si>
    <t>天井点検口　製品代</t>
    <phoneticPr fontId="2"/>
  </si>
  <si>
    <t xml:space="preserve">600*600 ｱﾙﾐA-BE </t>
    <phoneticPr fontId="2"/>
  </si>
  <si>
    <t>ヵ所</t>
    <phoneticPr fontId="2"/>
  </si>
  <si>
    <t>天井点検口　据付手間</t>
    <phoneticPr fontId="2"/>
  </si>
  <si>
    <t>600*600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</si>
  <si>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</si>
  <si>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</si>
  <si>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</si>
  <si>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</si>
  <si>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</si>
  <si>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既設ｱﾙﾐｽﾊﾟﾝﾄﾞﾚﾙ穴あけ加工</t>
    <phoneticPr fontId="2"/>
  </si>
  <si>
    <t>天井面　600*600</t>
    <phoneticPr fontId="2"/>
  </si>
  <si>
    <t>ヵ所</t>
    <phoneticPr fontId="2"/>
  </si>
  <si>
    <t>[標図]</t>
    <phoneticPr fontId="2"/>
  </si>
  <si>
    <t>床ﾓﾙﾀﾙ塗り</t>
    <phoneticPr fontId="2"/>
  </si>
  <si>
    <t>金ごて押え30㎜</t>
    <phoneticPr fontId="2"/>
  </si>
  <si>
    <t>㎡</t>
    <phoneticPr fontId="2"/>
  </si>
  <si>
    <t>床タイル下地共撤去</t>
    <phoneticPr fontId="2"/>
  </si>
  <si>
    <t>一晩施工(仕上げがタイル（200角以上）になる場合）</t>
    <phoneticPr fontId="2"/>
  </si>
  <si>
    <t>m2</t>
    <phoneticPr fontId="2"/>
  </si>
  <si>
    <t>床ﾀｲﾙ・石　下地共撤去</t>
    <phoneticPr fontId="2"/>
  </si>
  <si>
    <t>カッター入れ</t>
    <phoneticPr fontId="2"/>
  </si>
  <si>
    <t>ﾓﾙﾀﾙ</t>
    <phoneticPr fontId="2"/>
  </si>
  <si>
    <t>ｍ</t>
    <phoneticPr fontId="2"/>
  </si>
  <si>
    <t>手動式</t>
    <phoneticPr fontId="2"/>
  </si>
  <si>
    <t>軽鉄天井下地補強 JIS25型</t>
    <phoneticPr fontId="2"/>
  </si>
  <si>
    <t>亜鉛  600角 天井点検口用</t>
    <phoneticPr fontId="2"/>
  </si>
  <si>
    <t>ヵ所</t>
    <phoneticPr fontId="2"/>
  </si>
  <si>
    <t>ボード切込み共</t>
    <phoneticPr fontId="2"/>
  </si>
  <si>
    <t>天井点検口　製品代</t>
    <phoneticPr fontId="2"/>
  </si>
  <si>
    <t>600*600 ｱﾙﾐ　AL</t>
    <phoneticPr fontId="2"/>
  </si>
  <si>
    <t>ヵ所</t>
    <phoneticPr fontId="2"/>
  </si>
  <si>
    <t>天井点検口　据付手間</t>
    <phoneticPr fontId="2"/>
  </si>
  <si>
    <t>600*600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</si>
  <si>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</si>
  <si>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</si>
  <si>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</si>
  <si>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</si>
  <si>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</si>
  <si>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天井点検口　据付手間</t>
    <phoneticPr fontId="2"/>
  </si>
  <si>
    <t>ヵ所</t>
    <phoneticPr fontId="2"/>
  </si>
  <si>
    <t>点検口落下防止ワイヤー</t>
    <phoneticPr fontId="2"/>
  </si>
  <si>
    <t>600角以下</t>
    <phoneticPr fontId="2"/>
  </si>
  <si>
    <t>台</t>
    <phoneticPr fontId="2"/>
  </si>
  <si>
    <t>[標図] Ａ-14-19a</t>
    <phoneticPr fontId="2"/>
  </si>
  <si>
    <t>カッター入れ</t>
    <phoneticPr fontId="2"/>
  </si>
  <si>
    <t>ｍ</t>
    <phoneticPr fontId="2"/>
  </si>
  <si>
    <t>手動式</t>
    <phoneticPr fontId="2"/>
  </si>
  <si>
    <t>内外装部分撤去</t>
    <phoneticPr fontId="2"/>
  </si>
  <si>
    <t>天井ボード（１重張り）</t>
    <phoneticPr fontId="2"/>
  </si>
  <si>
    <t>㎡</t>
    <phoneticPr fontId="2"/>
  </si>
  <si>
    <t>アスベスト含有</t>
    <phoneticPr fontId="2"/>
  </si>
  <si>
    <t>カッター入れ</t>
    <phoneticPr fontId="2"/>
  </si>
  <si>
    <t>ｍ</t>
    <phoneticPr fontId="2"/>
  </si>
  <si>
    <t>手動式</t>
    <phoneticPr fontId="2"/>
  </si>
  <si>
    <t>軽鉄天井下地補強 JIS19型</t>
  </si>
  <si>
    <t>亜鉛  600角 天井点検口用</t>
  </si>
  <si>
    <t>天井点検口　製品代</t>
  </si>
  <si>
    <t xml:space="preserve">600*600 ｱﾙﾐA-BE </t>
  </si>
  <si>
    <t>点字ブロック</t>
  </si>
  <si>
    <t>貼付タイプ    のり付</t>
  </si>
  <si>
    <t>点字ブロック　ホーム先端用</t>
  </si>
  <si>
    <t>貼付タイプ　　のり付</t>
  </si>
  <si>
    <t>内外装部分撤去</t>
  </si>
  <si>
    <t>天井ボード（１重張り）</t>
  </si>
  <si>
    <t>隙間解消用鼻木</t>
  </si>
  <si>
    <t>鼻先モルタル</t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</si>
  <si>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</si>
  <si>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</si>
  <si>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</si>
  <si>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</si>
  <si>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材料運搬</t>
    <phoneticPr fontId="2"/>
  </si>
  <si>
    <t>ｔ</t>
    <phoneticPr fontId="2"/>
  </si>
  <si>
    <t>（1Ａ）は不要</t>
    <phoneticPr fontId="2"/>
  </si>
  <si>
    <t>運搬費</t>
    <phoneticPr fontId="2"/>
  </si>
  <si>
    <t>材料運搬</t>
    <phoneticPr fontId="2"/>
  </si>
  <si>
    <t>ｔ</t>
    <phoneticPr fontId="2"/>
  </si>
  <si>
    <t>（1Ａ）は不要</t>
    <phoneticPr fontId="2"/>
  </si>
  <si>
    <t>場内小運搬（ｶﾞﾗ運搬共）</t>
    <phoneticPr fontId="2"/>
  </si>
  <si>
    <t>残材積込費加算</t>
    <phoneticPr fontId="2"/>
  </si>
  <si>
    <t>人力積込</t>
    <phoneticPr fontId="2"/>
  </si>
  <si>
    <t>t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</si>
  <si>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</si>
  <si>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</si>
  <si>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</si>
  <si>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</si>
  <si>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その他　せっこうﾎﾞｰﾄﾞ類</t>
    <phoneticPr fontId="2"/>
  </si>
  <si>
    <t>ｔ</t>
    <phoneticPr fontId="2"/>
  </si>
  <si>
    <t>残材処分費</t>
    <phoneticPr fontId="2"/>
  </si>
  <si>
    <t>その他　セメント板類(ｱｽﾍﾞｽﾄ含有)</t>
    <phoneticPr fontId="2"/>
  </si>
  <si>
    <t>ｔ</t>
    <phoneticPr fontId="2"/>
  </si>
  <si>
    <t>木くず類再生処理</t>
    <phoneticPr fontId="2"/>
  </si>
  <si>
    <t>処</t>
    <rPh sb="0" eb="1">
      <t>ショ</t>
    </rPh>
    <phoneticPr fontId="2"/>
  </si>
  <si>
    <t>23038 木製巾木撤去程度</t>
    <rPh sb="6" eb="8">
      <t>モクセイ</t>
    </rPh>
    <rPh sb="8" eb="10">
      <t>ハバキ</t>
    </rPh>
    <rPh sb="10" eb="12">
      <t>テッキョ</t>
    </rPh>
    <rPh sb="12" eb="14">
      <t>テイド</t>
    </rPh>
    <phoneticPr fontId="2"/>
  </si>
  <si>
    <t>23010壁モルタル程度</t>
    <rPh sb="5" eb="6">
      <t>カベ</t>
    </rPh>
    <rPh sb="10" eb="12">
      <t>テイド</t>
    </rPh>
    <phoneticPr fontId="2"/>
  </si>
  <si>
    <t>費用</t>
  </si>
  <si>
    <t>特</t>
    <rPh sb="0" eb="1">
      <t>トク</t>
    </rPh>
    <phoneticPr fontId="2"/>
  </si>
  <si>
    <t>軽鉄天井下地補強 JIS25型</t>
  </si>
  <si>
    <t>600*600 ｱﾙﾐ　AL</t>
  </si>
  <si>
    <t>天井ﾛｯｸｳ-ﾙ吸音板張</t>
  </si>
  <si>
    <t>厚12(PB[GB-NC]厚9.5共)</t>
  </si>
  <si>
    <t>鼻先モルタルH＝150</t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</si>
  <si>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</si>
  <si>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</si>
  <si>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</si>
  <si>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</si>
  <si>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運搬費</t>
    <phoneticPr fontId="2"/>
  </si>
  <si>
    <t>場内小運搬（ｶﾞﾗ運搬共）</t>
    <phoneticPr fontId="2"/>
  </si>
  <si>
    <t>t</t>
    <phoneticPr fontId="2"/>
  </si>
  <si>
    <t>距離ランクを記入</t>
    <phoneticPr fontId="2"/>
  </si>
  <si>
    <t>材料運搬</t>
    <phoneticPr fontId="2"/>
  </si>
  <si>
    <t>ｔ</t>
    <phoneticPr fontId="2"/>
  </si>
  <si>
    <t>（1Ａ）は不要</t>
    <phoneticPr fontId="2"/>
  </si>
  <si>
    <t>材料運搬</t>
    <phoneticPr fontId="2"/>
  </si>
  <si>
    <t>ｔ</t>
    <phoneticPr fontId="2"/>
  </si>
  <si>
    <t>（1Ａ）は不要</t>
    <phoneticPr fontId="2"/>
  </si>
  <si>
    <t>残材積込費加算</t>
    <phoneticPr fontId="2"/>
  </si>
  <si>
    <t>人力積込</t>
    <phoneticPr fontId="2"/>
  </si>
  <si>
    <t>t</t>
    <phoneticPr fontId="2"/>
  </si>
  <si>
    <t>残材処分費</t>
    <phoneticPr fontId="2"/>
  </si>
  <si>
    <t>ｺﾝｸﾘｰﾄ類再生処理</t>
    <phoneticPr fontId="2"/>
  </si>
  <si>
    <t>ｔ</t>
    <phoneticPr fontId="2"/>
  </si>
  <si>
    <t>処</t>
    <rPh sb="0" eb="1">
      <t>ショ</t>
    </rPh>
    <phoneticPr fontId="2"/>
  </si>
  <si>
    <t>ｔ</t>
    <phoneticPr fontId="2"/>
  </si>
  <si>
    <t>（1Ａ）は不要</t>
    <phoneticPr fontId="2"/>
  </si>
  <si>
    <t>距離ランクを記入</t>
    <phoneticPr fontId="2"/>
  </si>
  <si>
    <t>人力積込</t>
    <phoneticPr fontId="2"/>
  </si>
  <si>
    <t>磁器質タイル</t>
  </si>
  <si>
    <t>300×600一晩施工</t>
  </si>
  <si>
    <t>床ﾓﾙﾀﾙ塗り</t>
  </si>
  <si>
    <t>金ごて押え30㎜</t>
  </si>
  <si>
    <t>床タイル下地共撤去</t>
  </si>
  <si>
    <t>一晩施工(仕上げがタイル（200角以上）になる場合）</t>
  </si>
  <si>
    <t>工事4</t>
    <rPh sb="0" eb="2">
      <t>コウジ</t>
    </rPh>
    <phoneticPr fontId="2"/>
  </si>
  <si>
    <t>工事5</t>
    <rPh sb="0" eb="2">
      <t>コウジ</t>
    </rPh>
    <phoneticPr fontId="2"/>
  </si>
  <si>
    <t>工事6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</si>
  <si>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</si>
  <si>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</si>
  <si>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SUSL6.0　L1100×H150</t>
  </si>
  <si>
    <t>ヶ所</t>
    <phoneticPr fontId="2"/>
  </si>
  <si>
    <t>金属工事   見積り金額比較表</t>
    <phoneticPr fontId="2"/>
  </si>
  <si>
    <t>【堺筋本町駅】</t>
    <rPh sb="1" eb="5">
      <t>サカイスジホンマチ</t>
    </rPh>
    <rPh sb="5" eb="6">
      <t>エキ</t>
    </rPh>
    <phoneticPr fontId="2"/>
  </si>
  <si>
    <t>SUSL6.0　L950×H150</t>
  </si>
  <si>
    <t>見) ㈱佐渡島</t>
    <phoneticPr fontId="2"/>
  </si>
  <si>
    <t>連結部扉開口部</t>
    <phoneticPr fontId="2"/>
  </si>
  <si>
    <t>ヵ所</t>
    <phoneticPr fontId="2"/>
  </si>
  <si>
    <t>軽鉄天井下地補強 JIS25型</t>
    <phoneticPr fontId="2"/>
  </si>
  <si>
    <t>亜鉛  600角 天井点検口用</t>
    <phoneticPr fontId="2"/>
  </si>
  <si>
    <t>ボード切込み共</t>
    <phoneticPr fontId="2"/>
  </si>
  <si>
    <t>天井点検口　製品代</t>
    <phoneticPr fontId="2"/>
  </si>
  <si>
    <t>600*600 ｱﾙﾐ　AL</t>
    <phoneticPr fontId="2"/>
  </si>
  <si>
    <t>ヵ所</t>
    <phoneticPr fontId="2"/>
  </si>
  <si>
    <t>400×400</t>
    <phoneticPr fontId="2"/>
  </si>
  <si>
    <t>内外装部分撤去</t>
    <phoneticPr fontId="2"/>
  </si>
  <si>
    <t>天井ボード（１重張り）</t>
    <phoneticPr fontId="2"/>
  </si>
  <si>
    <t>㎡</t>
    <phoneticPr fontId="2"/>
  </si>
  <si>
    <t>石膏板・化粧石膏板・ロックウール</t>
    <phoneticPr fontId="2"/>
  </si>
  <si>
    <t>機械設備工事</t>
    <rPh sb="0" eb="2">
      <t>キカイ</t>
    </rPh>
    <rPh sb="2" eb="4">
      <t>セツビ</t>
    </rPh>
    <rPh sb="4" eb="6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</si>
  <si>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</si>
  <si>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</si>
  <si>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取り合いシーリング共</t>
    <rPh sb="0" eb="1">
      <t>ト</t>
    </rPh>
    <rPh sb="2" eb="3">
      <t>ア</t>
    </rPh>
    <rPh sb="9" eb="10">
      <t>トモ</t>
    </rPh>
    <phoneticPr fontId="2"/>
  </si>
  <si>
    <t>W450×H300落下防止ワイヤー共</t>
    <rPh sb="9" eb="11">
      <t>ラッカ</t>
    </rPh>
    <rPh sb="11" eb="13">
      <t>ボウシ</t>
    </rPh>
    <rPh sb="17" eb="18">
      <t>トモ</t>
    </rPh>
    <phoneticPr fontId="2"/>
  </si>
  <si>
    <t>東梅田</t>
    <rPh sb="0" eb="3">
      <t>ヒガシウメダ</t>
    </rPh>
    <phoneticPr fontId="2"/>
  </si>
  <si>
    <t>ヶ所</t>
  </si>
  <si>
    <t>ヶ所</t>
    <rPh sb="1" eb="2">
      <t>ショ</t>
    </rPh>
    <phoneticPr fontId="2"/>
  </si>
  <si>
    <t>金属工事   見積り金額比較表</t>
    <phoneticPr fontId="2"/>
  </si>
  <si>
    <t>可動柵段差解消用L型金物</t>
  </si>
  <si>
    <t>見) ㈱佐渡島</t>
  </si>
  <si>
    <t>ｱﾙﾐ　PL-1.5ｔ曲げ加工ｶｰﾙﾋﾞｽ止　L1500</t>
  </si>
  <si>
    <t>ｱﾙﾐ　PL-1.5ｔ曲げ加工ｶｰﾙﾋﾞｽ止　L1500</t>
    <rPh sb="21" eb="22">
      <t>ト</t>
    </rPh>
    <phoneticPr fontId="2"/>
  </si>
  <si>
    <t>ｱﾙﾐ　PL-1.5ｔ曲げ加工ｶｰﾙﾋﾞｽ止　L1890</t>
    <phoneticPr fontId="2"/>
  </si>
  <si>
    <t>ｱﾙﾐ　PL-1.5ｔ曲げ加工ｶｰﾙﾋﾞｽ止　L2300</t>
  </si>
  <si>
    <t>ｱﾙﾐ　PL-1.5ｔ曲げ加工ｶｰﾙﾋﾞｽ止　L2300</t>
    <phoneticPr fontId="2"/>
  </si>
  <si>
    <t>ｱﾙﾐ　PL-1.5ｔ曲げ加工ｶｰﾙﾋﾞｽ止　L2500</t>
  </si>
  <si>
    <t>ｱﾙﾐ　PL-1.5ｔ曲げ加工ｶｰﾙﾋﾞｽ止　L2500</t>
    <phoneticPr fontId="2"/>
  </si>
  <si>
    <t>ｱﾙﾐ　PL-1.5ｔ曲げ加工ｶｰﾙﾋﾞｽ止　L2670</t>
    <phoneticPr fontId="2"/>
  </si>
  <si>
    <t>ｱﾙﾐ　PL-1.5ｔ曲げ加工ｶｰﾙﾋﾞｽ止　L2800</t>
  </si>
  <si>
    <t>ｱﾙﾐ　PL-1.5ｔ曲げ加工ｶｰﾙﾋﾞｽ止　L2800</t>
    <phoneticPr fontId="2"/>
  </si>
  <si>
    <t>可動柵段差解消用L型金物</t>
    <phoneticPr fontId="2"/>
  </si>
  <si>
    <t>ｱﾙﾐ　PL-1.5ｔ曲げ加工ｶｰﾙﾋﾞｽ止　L1890</t>
    <phoneticPr fontId="2"/>
  </si>
  <si>
    <t>ヶ所</t>
    <phoneticPr fontId="2"/>
  </si>
  <si>
    <t>見) ㈱佐渡島</t>
    <phoneticPr fontId="2"/>
  </si>
  <si>
    <t>ｱﾙﾐ　PL-1.5ｔ曲げ加工ｶｰﾙﾋﾞｽ止　L1500</t>
    <phoneticPr fontId="2"/>
  </si>
  <si>
    <t>ヶ所</t>
    <phoneticPr fontId="2"/>
  </si>
  <si>
    <t>見) ㈱佐渡島</t>
    <phoneticPr fontId="2"/>
  </si>
  <si>
    <t>ｱﾙﾐ　PL-1.5ｔ曲げ加工ｶｰﾙﾋﾞｽ止　L2300</t>
    <phoneticPr fontId="2"/>
  </si>
  <si>
    <t>ヶ所</t>
    <phoneticPr fontId="2"/>
  </si>
  <si>
    <t>ｱﾙﾐ　PL-1.5ｔ曲げ加工ｶｰﾙﾋﾞｽ止　L2500</t>
    <phoneticPr fontId="2"/>
  </si>
  <si>
    <t>ヶ所</t>
    <phoneticPr fontId="2"/>
  </si>
  <si>
    <t>ｱﾙﾐ　PL-1.5ｔ曲げ加工ｶｰﾙﾋﾞｽ止　L2670</t>
    <phoneticPr fontId="2"/>
  </si>
  <si>
    <t>ヶ所</t>
    <phoneticPr fontId="2"/>
  </si>
  <si>
    <t>ｱﾙﾐ　PL-1.5ｔ曲げ加工ｶｰﾙﾋﾞｽ止　L2800</t>
    <phoneticPr fontId="2"/>
  </si>
  <si>
    <t>ヶ所</t>
    <phoneticPr fontId="2"/>
  </si>
  <si>
    <t>見) ㈱佐渡島</t>
    <phoneticPr fontId="2"/>
  </si>
  <si>
    <t>堺筋本町</t>
    <rPh sb="0" eb="4">
      <t>サカイスジホンマチ</t>
    </rPh>
    <phoneticPr fontId="2"/>
  </si>
  <si>
    <t>ｱﾙﾐ　PL-1.5ｔ曲げ加工ｶｰﾙﾋﾞｽ止　L1800</t>
  </si>
  <si>
    <t>ｱﾙﾐ　PL-1.5ｔ曲げ加工ｶｰﾙﾋﾞｽ止　L1800</t>
    <phoneticPr fontId="2"/>
  </si>
  <si>
    <t>ｱﾙﾐ　PL-1.5ｔ曲げ加工ｶｰﾙﾋﾞｽ止　L1900</t>
  </si>
  <si>
    <t>ｱﾙﾐ　PL-1.5ｔ曲げ加工ｶｰﾙﾋﾞｽ止　L1900</t>
    <phoneticPr fontId="2"/>
  </si>
  <si>
    <t>ｱﾙﾐ　PL-1.5ｔ曲げ加工ｶｰﾙﾋﾞｽ止　L2300</t>
    <phoneticPr fontId="2"/>
  </si>
  <si>
    <t>ｱﾙﾐ　PL-1.5ｔ曲げ加工ｶｰﾙﾋﾞｽ止　L2500</t>
    <phoneticPr fontId="2"/>
  </si>
  <si>
    <t>ｱﾙﾐ　PL-1.5ｔ曲げ加工ｶｰﾙﾋﾞｽ止　L2900</t>
  </si>
  <si>
    <t>ｱﾙﾐ　PL-1.5ｔ曲げ加工ｶｰﾙﾋﾞｽ止　L2900</t>
    <phoneticPr fontId="2"/>
  </si>
  <si>
    <t>元設計見積</t>
    <rPh sb="0" eb="1">
      <t>モト</t>
    </rPh>
    <rPh sb="1" eb="3">
      <t>セッケイ</t>
    </rPh>
    <rPh sb="3" eb="5">
      <t>ミツモリ</t>
    </rPh>
    <phoneticPr fontId="2"/>
  </si>
  <si>
    <t>残材処分費</t>
  </si>
  <si>
    <t>ｺﾝｸﾘｰﾄ類再生処理</t>
  </si>
  <si>
    <t>ｔ</t>
  </si>
  <si>
    <t>ガラスくず及び陶磁器くず</t>
  </si>
  <si>
    <t>処</t>
    <rPh sb="0" eb="1">
      <t>ショ</t>
    </rPh>
    <phoneticPr fontId="2"/>
  </si>
  <si>
    <t>戸高　一輝</t>
    <rPh sb="0" eb="2">
      <t>トダカ</t>
    </rPh>
    <rPh sb="3" eb="5">
      <t>カズキ</t>
    </rPh>
    <phoneticPr fontId="2"/>
  </si>
  <si>
    <t>中村　龍史</t>
    <rPh sb="0" eb="2">
      <t>ナカムラ</t>
    </rPh>
    <rPh sb="3" eb="5">
      <t>タツシ</t>
    </rPh>
    <phoneticPr fontId="2"/>
  </si>
  <si>
    <t>H=1180　L＝2900 立入禁止柵移設共</t>
    <rPh sb="14" eb="15">
      <t>タ</t>
    </rPh>
    <rPh sb="15" eb="16">
      <t>イ</t>
    </rPh>
    <rPh sb="16" eb="18">
      <t>キンシ</t>
    </rPh>
    <rPh sb="18" eb="19">
      <t>サク</t>
    </rPh>
    <rPh sb="19" eb="21">
      <t>イセツ</t>
    </rPh>
    <rPh sb="21" eb="22">
      <t>トモ</t>
    </rPh>
    <phoneticPr fontId="2"/>
  </si>
  <si>
    <t>H=1180　L＝7500 立入禁止柵移設共</t>
    <phoneticPr fontId="2"/>
  </si>
  <si>
    <t>H=1180　L＝6000 立入禁止柵移設共</t>
    <phoneticPr fontId="2"/>
  </si>
  <si>
    <t>H=1180　L＝4500 立入禁止柵移設共</t>
    <phoneticPr fontId="2"/>
  </si>
  <si>
    <t>仮設安全柵上り先頭</t>
    <phoneticPr fontId="2"/>
  </si>
  <si>
    <t>H=1180　L＝2900 立入禁止柵移設共</t>
    <phoneticPr fontId="2"/>
  </si>
  <si>
    <t>ヵ所</t>
    <phoneticPr fontId="2"/>
  </si>
  <si>
    <t>見) ㈱佐渡島</t>
    <phoneticPr fontId="2"/>
  </si>
  <si>
    <t>仮設安全柵上り後方</t>
    <phoneticPr fontId="2"/>
  </si>
  <si>
    <t>ヵ所</t>
    <phoneticPr fontId="2"/>
  </si>
  <si>
    <t>見) ㈱佐渡島</t>
    <phoneticPr fontId="2"/>
  </si>
  <si>
    <t>仮設安全柵下り先頭</t>
    <phoneticPr fontId="2"/>
  </si>
  <si>
    <t>H=1180　L＝6000 立入禁止柵移設共</t>
    <phoneticPr fontId="2"/>
  </si>
  <si>
    <t>仮設安全柵下り後方</t>
    <phoneticPr fontId="2"/>
  </si>
  <si>
    <t>H=1180　L＝4500 立入禁止柵移設共</t>
    <phoneticPr fontId="2"/>
  </si>
  <si>
    <t>ヵ所</t>
    <phoneticPr fontId="2"/>
  </si>
  <si>
    <t>見) ㈱佐渡島</t>
    <phoneticPr fontId="2"/>
  </si>
  <si>
    <t>防滑性シート</t>
    <phoneticPr fontId="2"/>
  </si>
  <si>
    <t>350×910　ｔ＝2.5</t>
    <phoneticPr fontId="2"/>
  </si>
  <si>
    <t>ヵ所</t>
    <phoneticPr fontId="2"/>
  </si>
  <si>
    <t>見) ㈱佐渡島</t>
    <phoneticPr fontId="2"/>
  </si>
  <si>
    <t>ユニット及びその他の工事   見積り金額比較表</t>
    <phoneticPr fontId="2"/>
  </si>
  <si>
    <t>非常停止案内標示板</t>
    <phoneticPr fontId="2"/>
  </si>
  <si>
    <t>W450×H300落下防止ワイヤー共</t>
    <phoneticPr fontId="2"/>
  </si>
  <si>
    <t>ヵ所</t>
    <phoneticPr fontId="2"/>
  </si>
  <si>
    <t>見) ㈱佐渡島</t>
    <phoneticPr fontId="2"/>
  </si>
  <si>
    <t>W450×H300落下防止ワイヤー共</t>
    <phoneticPr fontId="2"/>
  </si>
  <si>
    <t>床案内標示（矢印）</t>
    <phoneticPr fontId="2"/>
  </si>
  <si>
    <t>非電照サイン（金属製）</t>
  </si>
  <si>
    <t>工事2</t>
    <rPh sb="0" eb="2">
      <t>コウジ</t>
    </rPh>
    <phoneticPr fontId="2"/>
  </si>
  <si>
    <t>工事3</t>
    <rPh sb="0" eb="2">
      <t>コウジ</t>
    </rPh>
    <phoneticPr fontId="2"/>
  </si>
  <si>
    <t>運転手・車掌扉開口部</t>
    <phoneticPr fontId="2"/>
  </si>
  <si>
    <t>SUSL6.0　L1100×H150</t>
    <phoneticPr fontId="2"/>
  </si>
  <si>
    <t>ヶ所</t>
    <phoneticPr fontId="2"/>
  </si>
  <si>
    <t>SUSL6.0　L950×H150</t>
    <phoneticPr fontId="2"/>
  </si>
  <si>
    <t>ヶ所</t>
    <phoneticPr fontId="2"/>
  </si>
  <si>
    <t>見) ㈱佐渡島</t>
    <phoneticPr fontId="2"/>
  </si>
  <si>
    <t>見) ㈱佐渡島</t>
    <phoneticPr fontId="2"/>
  </si>
  <si>
    <t>ヶ所</t>
    <phoneticPr fontId="2"/>
  </si>
  <si>
    <t>見) ㈱佐渡島</t>
    <phoneticPr fontId="2"/>
  </si>
  <si>
    <t>連結部扉開口部</t>
    <phoneticPr fontId="2"/>
  </si>
  <si>
    <t>W350×L910×H40</t>
    <phoneticPr fontId="2"/>
  </si>
  <si>
    <t>㎡</t>
    <phoneticPr fontId="2"/>
  </si>
  <si>
    <t>整列乗車シート（赤）</t>
    <phoneticPr fontId="2"/>
  </si>
  <si>
    <t>整列乗車シート撤去</t>
  </si>
  <si>
    <t>整列乗車シート撤去</t>
    <rPh sb="7" eb="9">
      <t>テッキョ</t>
    </rPh>
    <phoneticPr fontId="2"/>
  </si>
  <si>
    <t>矢印　撤去</t>
  </si>
  <si>
    <t>矢印　撤去</t>
    <rPh sb="3" eb="5">
      <t>テッキョ</t>
    </rPh>
    <phoneticPr fontId="2"/>
  </si>
  <si>
    <t>φ200</t>
  </si>
  <si>
    <t>φ200</t>
    <phoneticPr fontId="2"/>
  </si>
  <si>
    <t>ヶ所</t>
    <rPh sb="1" eb="2">
      <t>ショ</t>
    </rPh>
    <phoneticPr fontId="2"/>
  </si>
  <si>
    <t>23047ビニル床シート程度</t>
    <rPh sb="8" eb="9">
      <t>ユカ</t>
    </rPh>
    <rPh sb="12" eb="14">
      <t>テイド</t>
    </rPh>
    <phoneticPr fontId="2"/>
  </si>
  <si>
    <t>20021春付け点字ブロック程度</t>
    <rPh sb="5" eb="6">
      <t>ハル</t>
    </rPh>
    <rPh sb="6" eb="7">
      <t>ツ</t>
    </rPh>
    <rPh sb="8" eb="10">
      <t>テンジ</t>
    </rPh>
    <rPh sb="14" eb="16">
      <t>テイド</t>
    </rPh>
    <phoneticPr fontId="2"/>
  </si>
  <si>
    <t>残材処分費</t>
    <phoneticPr fontId="2"/>
  </si>
  <si>
    <t>廃プラスチック類・ゴムくず</t>
    <phoneticPr fontId="2"/>
  </si>
  <si>
    <t>ｔ</t>
    <phoneticPr fontId="2"/>
  </si>
  <si>
    <t>別紙より</t>
    <rPh sb="0" eb="2">
      <t>ベッシ</t>
    </rPh>
    <phoneticPr fontId="2"/>
  </si>
  <si>
    <t>工事管理シートによる</t>
    <rPh sb="0" eb="2">
      <t>コウジ</t>
    </rPh>
    <rPh sb="2" eb="4">
      <t>カンリ</t>
    </rPh>
    <phoneticPr fontId="2"/>
  </si>
  <si>
    <t>費目</t>
    <rPh sb="0" eb="2">
      <t>ヒモク</t>
    </rPh>
    <phoneticPr fontId="2"/>
  </si>
  <si>
    <t>ア)東梅田駅の部-可動式ホーム柵設置に伴う建築工事</t>
    <phoneticPr fontId="2"/>
  </si>
  <si>
    <t>ア)東梅田駅の部-整列乗車対策工事</t>
    <rPh sb="2" eb="6">
      <t>ヒガシウメダエキ</t>
    </rPh>
    <rPh sb="7" eb="8">
      <t>ブ</t>
    </rPh>
    <rPh sb="9" eb="13">
      <t>セイレツジョウシャ</t>
    </rPh>
    <rPh sb="13" eb="15">
      <t>タイサク</t>
    </rPh>
    <rPh sb="15" eb="17">
      <t>コウジ</t>
    </rPh>
    <phoneticPr fontId="2"/>
  </si>
  <si>
    <t>イ)6号線堺筋本町駅の部-可動式ホーム柵設置に伴う建築工事</t>
    <phoneticPr fontId="2"/>
  </si>
  <si>
    <t/>
  </si>
  <si>
    <t>床仕上改造その他工事-建築工事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3">
      <t>ケンチク</t>
    </rPh>
    <rPh sb="13" eb="15">
      <t>コウジ</t>
    </rPh>
    <phoneticPr fontId="2"/>
  </si>
  <si>
    <t>床仕上改造その他工事-機械設備工事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3">
      <t>キカイ</t>
    </rPh>
    <rPh sb="13" eb="15">
      <t>セツビ</t>
    </rPh>
    <rPh sb="15" eb="17">
      <t>コウジ</t>
    </rPh>
    <phoneticPr fontId="2"/>
  </si>
  <si>
    <t>床仕上改造その他工事-建築工事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5">
      <t>ケンチクコウジ</t>
    </rPh>
    <phoneticPr fontId="2"/>
  </si>
  <si>
    <t>床仕上改造その他工事-機械設備工事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rPh sb="11" eb="17">
      <t>キカイセツビコウジ</t>
    </rPh>
    <phoneticPr fontId="2"/>
  </si>
  <si>
    <t>ア)東梅田駅の部-床仕上改造その他工事-建築工事</t>
    <rPh sb="2" eb="6">
      <t>ヒガシウメダエキ</t>
    </rPh>
    <rPh sb="7" eb="8">
      <t>ブ</t>
    </rPh>
    <rPh sb="9" eb="10">
      <t>ユカ</t>
    </rPh>
    <rPh sb="10" eb="12">
      <t>シアゲ</t>
    </rPh>
    <rPh sb="12" eb="14">
      <t>カイゾウ</t>
    </rPh>
    <rPh sb="16" eb="17">
      <t>タ</t>
    </rPh>
    <rPh sb="17" eb="19">
      <t>コウジ</t>
    </rPh>
    <rPh sb="20" eb="22">
      <t>ケンチク</t>
    </rPh>
    <rPh sb="22" eb="24">
      <t>コウジ</t>
    </rPh>
    <phoneticPr fontId="2"/>
  </si>
  <si>
    <t>イ)6号線堺筋本町駅の部-床仕上改造その他工事-建築工事</t>
    <phoneticPr fontId="2"/>
  </si>
  <si>
    <t>ア)東梅田駅の部-床仕上改造その他工事-機械設備工事</t>
    <phoneticPr fontId="2"/>
  </si>
  <si>
    <t>イ)6号線堺筋本町駅の部-床仕上改造その他工事-機械設備工事</t>
    <rPh sb="3" eb="5">
      <t>ゴウセン</t>
    </rPh>
    <rPh sb="5" eb="10">
      <t>サカイスジホンマチエキ</t>
    </rPh>
    <rPh sb="11" eb="12">
      <t>ブ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</si>
</sst>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;;;"/>
    <numFmt numFmtId="177" formatCode="#,##0;&quot;△ &quot;#,##0"/>
    <numFmt numFmtId="178" formatCode="0&quot;A&quot;"/>
    <numFmt numFmtId="179" formatCode="#,##0_ "/>
    <numFmt numFmtId="180" formatCode="0_ "/>
    <numFmt numFmtId="181" formatCode="0;0;;@"/>
    <numFmt numFmtId="182" formatCode="&quot;◇&quot;@"/>
    <numFmt numFmtId="183" formatCode="General;\-General;"/>
    <numFmt numFmtId="184" formatCode="#,##0;&quot;△ &quot;#,##0;"/>
    <numFmt numFmtId="185" formatCode="0;&quot;△&quot;0;;"/>
    <numFmt numFmtId="186" formatCode="General;&quot;△&quot;General;"/>
    <numFmt numFmtId="187" formatCode="#,##0.0;&quot;△ &quot;#,##0.0"/>
    <numFmt numFmtId="188" formatCode="yyyy&quot;年&quot;m&quot;月&quot;d&quot;日&quot;;@"/>
    <numFmt numFmtId="189" formatCode="0&quot;式&quot;"/>
    <numFmt numFmtId="190" formatCode="#,##0.0;[Red]\-#,##0.0"/>
    <numFmt numFmtId="191" formatCode="0.0_ "/>
    <numFmt numFmtId="192" formatCode="0.00_ "/>
    <numFmt numFmtId="193" formatCode="0.0"/>
    <numFmt numFmtId="194" formatCode="#,##0_ ;[Red]\-#,##0\ "/>
    <numFmt numFmtId="195" formatCode="&quot;2019-&quot;####"/>
  </numFmts>
  <fonts count="11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b/>
      <sz val="20"/>
      <color indexed="8"/>
      <name val="ＭＳ Ｐゴシック"/>
      <family val="3"/>
      <charset val="128"/>
    </font>
    <font>
      <sz val="8"/>
      <color indexed="8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6"/>
      <name val="ＭＳ Ｐ明朝"/>
      <family val="1"/>
      <charset val="128"/>
    </font>
    <font>
      <b/>
      <sz val="18"/>
      <color indexed="8"/>
      <name val="ＭＳ Ｐゴシック"/>
      <family val="3"/>
      <charset val="128"/>
    </font>
    <font>
      <sz val="13"/>
      <color indexed="8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48"/>
      <color indexed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8"/>
      <name val="ＭＳ Ｐ明朝"/>
      <family val="1"/>
      <charset val="128"/>
    </font>
    <font>
      <i/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7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20"/>
      <color indexed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u/>
      <sz val="9"/>
      <color indexed="8"/>
      <name val="ＭＳ Ｐ明朝"/>
      <family val="1"/>
      <charset val="128"/>
    </font>
    <font>
      <sz val="18"/>
      <color theme="3"/>
      <name val="ＭＳ Ｐゴシック"/>
      <family val="2"/>
      <charset val="128"/>
      <scheme val="major"/>
    </font>
    <font>
      <b/>
      <u/>
      <sz val="20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Meiryo UI"/>
      <family val="3"/>
      <charset val="128"/>
    </font>
    <font>
      <b/>
      <i/>
      <sz val="16"/>
      <name val="Helv"/>
      <family val="2"/>
    </font>
    <font>
      <sz val="18"/>
      <color indexed="8"/>
      <name val="ＭＳ ゴシック"/>
      <family val="3"/>
      <charset val="128"/>
    </font>
    <font>
      <b/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color rgb="FF00B050"/>
      <name val="ＭＳ Ｐ明朝"/>
      <family val="1"/>
      <charset val="128"/>
    </font>
    <font>
      <b/>
      <sz val="9"/>
      <color indexed="81"/>
      <name val="MS P ゴシック"/>
      <family val="3"/>
      <charset val="128"/>
    </font>
    <font>
      <b/>
      <sz val="8"/>
      <color indexed="8"/>
      <name val="ＭＳ Ｐゴシック"/>
      <family val="3"/>
      <charset val="128"/>
    </font>
    <font>
      <b/>
      <sz val="11"/>
      <color indexed="12"/>
      <name val="ＭＳ Ｐ明朝"/>
      <family val="1"/>
      <charset val="128"/>
    </font>
    <font>
      <sz val="10"/>
      <color rgb="FFFF000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9"/>
      <color rgb="FF0070C0"/>
      <name val="ＭＳ Ｐ明朝"/>
      <family val="1"/>
      <charset val="128"/>
    </font>
    <font>
      <sz val="10"/>
      <color rgb="FF7030A0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b/>
      <sz val="9"/>
      <color indexed="8"/>
      <name val="ＭＳ Ｐ明朝"/>
      <family val="1"/>
      <charset val="128"/>
    </font>
    <font>
      <b/>
      <sz val="9"/>
      <name val="ＭＳ Ｐ明朝"/>
      <family val="1"/>
      <charset val="128"/>
    </font>
    <font>
      <sz val="10"/>
      <color rgb="FF0070C0"/>
      <name val="ＭＳ Ｐ明朝"/>
      <family val="1"/>
      <charset val="128"/>
    </font>
    <font>
      <b/>
      <sz val="12"/>
      <color rgb="FF0070C0"/>
      <name val="ＭＳ Ｐ明朝"/>
      <family val="1"/>
      <charset val="128"/>
    </font>
    <font>
      <b/>
      <sz val="11"/>
      <color rgb="FF0070C0"/>
      <name val="ＭＳ Ｐ明朝"/>
      <family val="1"/>
      <charset val="128"/>
    </font>
    <font>
      <b/>
      <sz val="10"/>
      <color rgb="FF0070C0"/>
      <name val="ＭＳ Ｐ明朝"/>
      <family val="1"/>
      <charset val="128"/>
    </font>
    <font>
      <sz val="10"/>
      <color theme="0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color indexed="10"/>
      <name val="ＭＳ Ｐ明朝"/>
      <family val="1"/>
      <charset val="128"/>
    </font>
    <font>
      <sz val="10"/>
      <color indexed="9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0"/>
      <color indexed="10"/>
      <name val="ＭＳ Ｐ明朝"/>
      <family val="1"/>
      <charset val="128"/>
    </font>
    <font>
      <sz val="10"/>
      <color indexed="8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B05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name val="Meiryo UI"/>
      <family val="3"/>
      <charset val="128"/>
    </font>
    <font>
      <b/>
      <sz val="10"/>
      <color indexed="8"/>
      <name val="Meiryo UI"/>
      <family val="3"/>
      <charset val="128"/>
    </font>
    <font>
      <b/>
      <sz val="10"/>
      <name val="Meiryo UI"/>
      <family val="3"/>
      <charset val="128"/>
    </font>
    <font>
      <b/>
      <sz val="11"/>
      <color indexed="8"/>
      <name val="Meiryo UI"/>
      <family val="3"/>
      <charset val="128"/>
    </font>
    <font>
      <sz val="10"/>
      <color rgb="FF7030A0"/>
      <name val="Meiryo UI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color indexed="1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indexed="8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b/>
      <sz val="11"/>
      <color indexed="10"/>
      <name val="Meiryo UI"/>
      <family val="3"/>
      <charset val="128"/>
    </font>
    <font>
      <b/>
      <sz val="11"/>
      <name val="Meiryo UI"/>
      <family val="3"/>
      <charset val="128"/>
    </font>
    <font>
      <sz val="10"/>
      <color indexed="9"/>
      <name val="Meiryo UI"/>
      <family val="3"/>
      <charset val="128"/>
    </font>
    <font>
      <sz val="9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b/>
      <sz val="10"/>
      <color rgb="FF00B050"/>
      <name val="Meiryo UI"/>
      <family val="3"/>
      <charset val="128"/>
    </font>
    <font>
      <sz val="9"/>
      <color rgb="FF00B050"/>
      <name val="Meiryo UI"/>
      <family val="3"/>
      <charset val="128"/>
    </font>
    <font>
      <sz val="10"/>
      <color indexed="36"/>
      <name val="Meiryo UI"/>
      <family val="3"/>
      <charset val="128"/>
    </font>
    <font>
      <b/>
      <sz val="10"/>
      <color indexed="10"/>
      <name val="Meiryo UI"/>
      <family val="3"/>
      <charset val="128"/>
    </font>
    <font>
      <sz val="10"/>
      <color theme="0"/>
      <name val="Meiryo UI"/>
      <family val="3"/>
      <charset val="128"/>
    </font>
    <font>
      <sz val="8"/>
      <color rgb="FFFF0000"/>
      <name val="Meiryo UI"/>
      <family val="3"/>
      <charset val="128"/>
    </font>
    <font>
      <sz val="8"/>
      <color indexed="8"/>
      <name val="Meiryo UI"/>
      <family val="3"/>
      <charset val="128"/>
    </font>
    <font>
      <sz val="11"/>
      <color theme="0" tint="-0.34998626667073579"/>
      <name val="ＭＳ Ｐ明朝"/>
      <family val="1"/>
      <charset val="128"/>
    </font>
  </fonts>
  <fills count="3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1"/>
      </patternFill>
    </fill>
    <fill>
      <patternFill patternType="gray125">
        <fgColor indexed="11"/>
      </patternFill>
    </fill>
    <fill>
      <patternFill patternType="solid">
        <fgColor indexed="42"/>
        <bgColor indexed="64"/>
      </patternFill>
    </fill>
    <fill>
      <patternFill patternType="gray125">
        <fgColor theme="0"/>
      </patternFill>
    </fill>
    <fill>
      <patternFill patternType="lightGray">
        <fgColor theme="0"/>
      </patternFill>
    </fill>
    <fill>
      <patternFill patternType="gray125">
        <fgColor theme="0" tint="-0.2499465926084170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lightGray">
        <fgColor indexed="45"/>
        <bgColor rgb="FFFFFF00"/>
      </patternFill>
    </fill>
    <fill>
      <patternFill patternType="solid">
        <fgColor theme="8" tint="0.39997558519241921"/>
        <bgColor indexed="64"/>
      </patternFill>
    </fill>
  </fills>
  <borders count="320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 style="hair">
        <color indexed="8"/>
      </top>
      <bottom style="medium">
        <color indexed="8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64"/>
      </bottom>
      <diagonal/>
    </border>
    <border>
      <left style="medium">
        <color indexed="8"/>
      </left>
      <right/>
      <top/>
      <bottom/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Dashed">
        <color indexed="64"/>
      </top>
      <bottom style="dotted">
        <color indexed="64"/>
      </bottom>
      <diagonal/>
    </border>
    <border>
      <left/>
      <right/>
      <top style="mediumDashed">
        <color indexed="64"/>
      </top>
      <bottom style="dotted">
        <color indexed="64"/>
      </bottom>
      <diagonal/>
    </border>
    <border>
      <left/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mediumDash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8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</borders>
  <cellStyleXfs count="5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</cellStyleXfs>
  <cellXfs count="3064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top" textRotation="255" shrinkToFit="1"/>
    </xf>
    <xf numFmtId="0" fontId="3" fillId="0" borderId="0" xfId="0" applyFont="1" applyAlignment="1">
      <alignment vertical="center" shrinkToFit="1"/>
    </xf>
    <xf numFmtId="178" fontId="4" fillId="0" borderId="0" xfId="0" applyNumberFormat="1" applyFont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4" fillId="0" borderId="0" xfId="0" applyFont="1" applyBorder="1" applyAlignment="1">
      <alignment vertical="top" textRotation="255" shrinkToFit="1"/>
    </xf>
    <xf numFmtId="0" fontId="5" fillId="0" borderId="0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/>
    </xf>
    <xf numFmtId="178" fontId="4" fillId="0" borderId="0" xfId="0" applyNumberFormat="1" applyFont="1" applyBorder="1" applyAlignment="1">
      <alignment vertical="center" shrinkToFit="1"/>
    </xf>
    <xf numFmtId="0" fontId="6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right" vertical="center"/>
    </xf>
    <xf numFmtId="177" fontId="5" fillId="0" borderId="0" xfId="0" applyNumberFormat="1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right" vertical="center"/>
    </xf>
    <xf numFmtId="0" fontId="17" fillId="0" borderId="0" xfId="0" applyFont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79" fontId="17" fillId="0" borderId="0" xfId="0" applyNumberFormat="1" applyFont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0" borderId="0" xfId="0" applyFont="1" applyAlignment="1">
      <alignment horizontal="right" vertical="center" wrapText="1"/>
    </xf>
    <xf numFmtId="0" fontId="3" fillId="0" borderId="0" xfId="0" quotePrefix="1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0" fontId="14" fillId="0" borderId="0" xfId="0" applyFont="1" applyAlignment="1" applyProtection="1">
      <alignment vertical="center"/>
      <protection locked="0"/>
    </xf>
    <xf numFmtId="178" fontId="4" fillId="0" borderId="0" xfId="0" applyNumberFormat="1" applyFont="1" applyAlignment="1" applyProtection="1">
      <alignment vertical="center" shrinkToFit="1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2" borderId="1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0" fillId="4" borderId="0" xfId="0" applyFont="1" applyFill="1" applyProtection="1">
      <protection locked="0"/>
    </xf>
    <xf numFmtId="0" fontId="0" fillId="0" borderId="0" xfId="0" quotePrefix="1" applyProtection="1">
      <protection locked="0"/>
    </xf>
    <xf numFmtId="176" fontId="5" fillId="0" borderId="0" xfId="0" applyNumberFormat="1" applyFont="1" applyBorder="1" applyAlignment="1" applyProtection="1">
      <alignment vertical="center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center" vertical="center"/>
      <protection locked="0"/>
    </xf>
    <xf numFmtId="0" fontId="17" fillId="0" borderId="19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 applyProtection="1">
      <alignment vertical="center"/>
      <protection locked="0"/>
    </xf>
    <xf numFmtId="0" fontId="23" fillId="0" borderId="23" xfId="0" applyFont="1" applyBorder="1" applyAlignment="1">
      <alignment horizontal="center" shrinkToFit="1"/>
    </xf>
    <xf numFmtId="0" fontId="17" fillId="0" borderId="24" xfId="0" applyFont="1" applyBorder="1" applyAlignment="1" applyProtection="1">
      <alignment vertical="center"/>
      <protection locked="0"/>
    </xf>
    <xf numFmtId="0" fontId="17" fillId="0" borderId="25" xfId="0" applyFont="1" applyBorder="1" applyAlignment="1" applyProtection="1">
      <alignment vertical="center"/>
      <protection locked="0"/>
    </xf>
    <xf numFmtId="0" fontId="5" fillId="0" borderId="38" xfId="0" applyFont="1" applyBorder="1" applyAlignment="1" applyProtection="1">
      <alignment horizontal="center" vertical="center"/>
    </xf>
    <xf numFmtId="177" fontId="5" fillId="0" borderId="38" xfId="0" applyNumberFormat="1" applyFont="1" applyBorder="1" applyAlignment="1" applyProtection="1">
      <alignment horizontal="center" vertical="center" shrinkToFit="1"/>
    </xf>
    <xf numFmtId="0" fontId="5" fillId="0" borderId="38" xfId="0" applyFont="1" applyBorder="1" applyAlignment="1" applyProtection="1">
      <alignment horizontal="center" vertical="center" wrapText="1"/>
    </xf>
    <xf numFmtId="181" fontId="13" fillId="0" borderId="39" xfId="0" applyNumberFormat="1" applyFont="1" applyBorder="1" applyAlignment="1" applyProtection="1">
      <alignment horizontal="left" vertical="center"/>
      <protection locked="0"/>
    </xf>
    <xf numFmtId="0" fontId="13" fillId="0" borderId="39" xfId="0" applyFont="1" applyBorder="1" applyAlignment="1" applyProtection="1">
      <alignment vertical="center"/>
      <protection locked="0"/>
    </xf>
    <xf numFmtId="0" fontId="13" fillId="0" borderId="40" xfId="0" applyFont="1" applyBorder="1" applyAlignment="1" applyProtection="1">
      <alignment vertical="center"/>
      <protection locked="0"/>
    </xf>
    <xf numFmtId="0" fontId="17" fillId="0" borderId="41" xfId="0" applyFont="1" applyBorder="1" applyAlignment="1" applyProtection="1">
      <alignment vertical="center"/>
      <protection locked="0"/>
    </xf>
    <xf numFmtId="0" fontId="17" fillId="0" borderId="42" xfId="0" applyFont="1" applyBorder="1" applyAlignment="1" applyProtection="1">
      <alignment vertical="center"/>
      <protection locked="0"/>
    </xf>
    <xf numFmtId="0" fontId="17" fillId="0" borderId="43" xfId="0" applyFont="1" applyBorder="1" applyAlignment="1" applyProtection="1">
      <alignment vertical="center"/>
      <protection locked="0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 applyProtection="1">
      <alignment vertical="center"/>
      <protection locked="0"/>
    </xf>
    <xf numFmtId="0" fontId="17" fillId="0" borderId="52" xfId="0" applyFont="1" applyBorder="1" applyAlignment="1" applyProtection="1">
      <alignment vertical="center"/>
      <protection locked="0"/>
    </xf>
    <xf numFmtId="0" fontId="17" fillId="0" borderId="53" xfId="0" applyFont="1" applyBorder="1" applyAlignment="1" applyProtection="1">
      <alignment vertical="center"/>
      <protection locked="0"/>
    </xf>
    <xf numFmtId="177" fontId="5" fillId="0" borderId="0" xfId="0" applyNumberFormat="1" applyFont="1" applyBorder="1" applyAlignment="1" applyProtection="1">
      <alignment vertical="center" shrinkToFit="1"/>
      <protection locked="0"/>
    </xf>
    <xf numFmtId="0" fontId="23" fillId="0" borderId="0" xfId="0" applyFont="1" applyAlignment="1">
      <alignment shrinkToFit="1"/>
    </xf>
    <xf numFmtId="0" fontId="3" fillId="0" borderId="0" xfId="0" applyFont="1" applyAlignment="1" applyProtection="1">
      <alignment vertical="center"/>
    </xf>
    <xf numFmtId="177" fontId="8" fillId="0" borderId="63" xfId="0" applyNumberFormat="1" applyFont="1" applyBorder="1" applyAlignment="1" applyProtection="1">
      <alignment horizontal="right" vertical="top" shrinkToFit="1"/>
    </xf>
    <xf numFmtId="178" fontId="17" fillId="0" borderId="67" xfId="0" applyNumberFormat="1" applyFont="1" applyBorder="1" applyAlignment="1" applyProtection="1">
      <alignment horizontal="center" vertical="center"/>
      <protection locked="0"/>
    </xf>
    <xf numFmtId="178" fontId="17" fillId="0" borderId="41" xfId="0" applyNumberFormat="1" applyFont="1" applyBorder="1" applyAlignment="1" applyProtection="1">
      <alignment horizontal="center" vertical="center"/>
      <protection locked="0"/>
    </xf>
    <xf numFmtId="178" fontId="17" fillId="0" borderId="68" xfId="0" applyNumberFormat="1" applyFont="1" applyBorder="1" applyAlignment="1" applyProtection="1">
      <alignment horizontal="center" vertical="center"/>
      <protection locked="0"/>
    </xf>
    <xf numFmtId="178" fontId="17" fillId="0" borderId="42" xfId="0" applyNumberFormat="1" applyFont="1" applyBorder="1" applyAlignment="1" applyProtection="1">
      <alignment horizontal="center" vertical="center"/>
      <protection locked="0"/>
    </xf>
    <xf numFmtId="178" fontId="17" fillId="0" borderId="69" xfId="0" applyNumberFormat="1" applyFont="1" applyBorder="1" applyAlignment="1" applyProtection="1">
      <alignment horizontal="center" vertical="center"/>
      <protection locked="0"/>
    </xf>
    <xf numFmtId="178" fontId="17" fillId="0" borderId="43" xfId="0" applyNumberFormat="1" applyFont="1" applyBorder="1" applyAlignment="1" applyProtection="1">
      <alignment horizontal="center" vertical="center"/>
      <protection locked="0"/>
    </xf>
    <xf numFmtId="38" fontId="8" fillId="0" borderId="63" xfId="0" applyNumberFormat="1" applyFont="1" applyBorder="1" applyAlignment="1" applyProtection="1">
      <alignment horizontal="right" vertical="top"/>
      <protection locked="0"/>
    </xf>
    <xf numFmtId="38" fontId="8" fillId="0" borderId="63" xfId="0" applyNumberFormat="1" applyFont="1" applyBorder="1" applyAlignment="1" applyProtection="1">
      <alignment horizontal="right" vertical="top" shrinkToFit="1"/>
      <protection locked="0"/>
    </xf>
    <xf numFmtId="0" fontId="13" fillId="0" borderId="70" xfId="0" applyFont="1" applyBorder="1" applyAlignment="1" applyProtection="1">
      <alignment vertical="center"/>
      <protection locked="0"/>
    </xf>
    <xf numFmtId="0" fontId="23" fillId="0" borderId="0" xfId="0" applyNumberFormat="1" applyFont="1" applyAlignment="1">
      <alignment shrinkToFit="1"/>
    </xf>
    <xf numFmtId="177" fontId="5" fillId="5" borderId="71" xfId="0" applyNumberFormat="1" applyFont="1" applyFill="1" applyBorder="1" applyAlignment="1" applyProtection="1">
      <alignment vertical="center" shrinkToFit="1"/>
    </xf>
    <xf numFmtId="0" fontId="3" fillId="0" borderId="0" xfId="0" applyNumberFormat="1" applyFont="1" applyAlignment="1">
      <alignment vertical="center"/>
    </xf>
    <xf numFmtId="0" fontId="13" fillId="0" borderId="72" xfId="0" applyFont="1" applyBorder="1" applyAlignment="1" applyProtection="1">
      <alignment vertical="center"/>
      <protection locked="0"/>
    </xf>
    <xf numFmtId="0" fontId="13" fillId="0" borderId="63" xfId="0" applyFont="1" applyBorder="1" applyAlignment="1" applyProtection="1">
      <alignment vertical="center" wrapText="1"/>
      <protection locked="0"/>
    </xf>
    <xf numFmtId="0" fontId="13" fillId="0" borderId="63" xfId="0" applyFont="1" applyBorder="1" applyAlignment="1" applyProtection="1">
      <alignment horizontal="center" vertical="center"/>
      <protection locked="0"/>
    </xf>
    <xf numFmtId="0" fontId="13" fillId="0" borderId="73" xfId="0" applyFont="1" applyBorder="1" applyAlignment="1" applyProtection="1">
      <alignment vertical="center" wrapText="1"/>
      <protection locked="0"/>
    </xf>
    <xf numFmtId="0" fontId="13" fillId="0" borderId="73" xfId="0" applyFont="1" applyBorder="1" applyAlignment="1" applyProtection="1">
      <alignment vertical="center"/>
      <protection locked="0"/>
    </xf>
    <xf numFmtId="177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Font="1" applyBorder="1" applyAlignment="1" applyProtection="1">
      <alignment horizontal="right" vertical="center"/>
      <protection locked="0"/>
    </xf>
    <xf numFmtId="0" fontId="13" fillId="0" borderId="75" xfId="0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wrapText="1"/>
      <protection locked="0"/>
    </xf>
    <xf numFmtId="177" fontId="13" fillId="0" borderId="76" xfId="0" applyNumberFormat="1" applyFont="1" applyBorder="1" applyAlignment="1" applyProtection="1">
      <alignment vertical="center" shrinkToFit="1"/>
      <protection locked="0"/>
    </xf>
    <xf numFmtId="0" fontId="12" fillId="0" borderId="65" xfId="0" applyFont="1" applyBorder="1" applyAlignment="1" applyProtection="1">
      <alignment horizontal="centerContinuous" vertical="center"/>
    </xf>
    <xf numFmtId="0" fontId="12" fillId="0" borderId="38" xfId="0" applyFont="1" applyBorder="1" applyAlignment="1" applyProtection="1">
      <alignment horizontal="center" vertical="center" wrapText="1"/>
    </xf>
    <xf numFmtId="0" fontId="12" fillId="0" borderId="38" xfId="0" applyFont="1" applyBorder="1" applyAlignment="1" applyProtection="1">
      <alignment horizontal="center" vertical="center"/>
    </xf>
    <xf numFmtId="177" fontId="12" fillId="0" borderId="38" xfId="0" applyNumberFormat="1" applyFont="1" applyBorder="1" applyAlignment="1" applyProtection="1">
      <alignment horizontal="center" vertical="center" shrinkToFit="1"/>
    </xf>
    <xf numFmtId="0" fontId="12" fillId="0" borderId="64" xfId="0" applyFont="1" applyBorder="1" applyAlignment="1" applyProtection="1">
      <alignment horizontal="centerContinuous" vertical="center"/>
    </xf>
    <xf numFmtId="0" fontId="11" fillId="0" borderId="77" xfId="0" applyFont="1" applyBorder="1" applyAlignment="1" applyProtection="1">
      <alignment vertical="center"/>
    </xf>
    <xf numFmtId="0" fontId="13" fillId="0" borderId="72" xfId="0" applyFont="1" applyBorder="1" applyAlignment="1" applyProtection="1">
      <alignment vertical="center"/>
    </xf>
    <xf numFmtId="0" fontId="13" fillId="0" borderId="63" xfId="0" applyFont="1" applyBorder="1" applyAlignment="1" applyProtection="1">
      <alignment horizontal="center" vertical="center"/>
    </xf>
    <xf numFmtId="0" fontId="13" fillId="0" borderId="73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center" vertical="center" shrinkToFit="1"/>
      <protection locked="0"/>
    </xf>
    <xf numFmtId="0" fontId="13" fillId="0" borderId="39" xfId="0" quotePrefix="1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shrinkToFit="1"/>
      <protection locked="0"/>
    </xf>
    <xf numFmtId="0" fontId="13" fillId="0" borderId="76" xfId="0" applyFont="1" applyBorder="1" applyAlignment="1" applyProtection="1">
      <alignment horizontal="center" vertical="center" shrinkToFit="1"/>
      <protection locked="0"/>
    </xf>
    <xf numFmtId="0" fontId="13" fillId="0" borderId="78" xfId="0" applyFont="1" applyBorder="1" applyAlignment="1" applyProtection="1">
      <alignment vertical="center"/>
      <protection locked="0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vertical="center"/>
    </xf>
    <xf numFmtId="0" fontId="4" fillId="0" borderId="0" xfId="0" quotePrefix="1" applyFont="1" applyAlignment="1">
      <alignment horizontal="center" vertical="center"/>
    </xf>
    <xf numFmtId="177" fontId="4" fillId="0" borderId="0" xfId="0" applyNumberFormat="1" applyFont="1" applyAlignment="1">
      <alignment vertical="center" shrinkToFit="1"/>
    </xf>
    <xf numFmtId="180" fontId="13" fillId="0" borderId="74" xfId="0" applyNumberFormat="1" applyFont="1" applyBorder="1" applyAlignment="1" applyProtection="1">
      <alignment horizontal="right" vertical="center" shrinkToFit="1"/>
      <protection locked="0"/>
    </xf>
    <xf numFmtId="0" fontId="13" fillId="0" borderId="39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right" vertical="center" shrinkToFit="1"/>
      <protection locked="0"/>
    </xf>
    <xf numFmtId="38" fontId="13" fillId="0" borderId="76" xfId="0" applyNumberFormat="1" applyFont="1" applyBorder="1" applyAlignment="1" applyProtection="1">
      <alignment horizontal="right" vertical="center" shrinkToFit="1"/>
      <protection locked="0"/>
    </xf>
    <xf numFmtId="182" fontId="11" fillId="0" borderId="77" xfId="0" applyNumberFormat="1" applyFont="1" applyBorder="1" applyAlignment="1" applyProtection="1">
      <alignment vertical="center"/>
      <protection locked="0"/>
    </xf>
    <xf numFmtId="0" fontId="13" fillId="0" borderId="72" xfId="0" applyFont="1" applyBorder="1" applyAlignment="1" applyProtection="1">
      <alignment vertical="center" shrinkToFit="1"/>
      <protection locked="0"/>
    </xf>
    <xf numFmtId="0" fontId="13" fillId="0" borderId="63" xfId="0" applyFont="1" applyBorder="1" applyAlignment="1" applyProtection="1">
      <alignment vertical="center" shrinkToFit="1"/>
      <protection locked="0"/>
    </xf>
    <xf numFmtId="38" fontId="13" fillId="0" borderId="73" xfId="0" applyNumberFormat="1" applyFont="1" applyBorder="1" applyAlignment="1" applyProtection="1">
      <alignment horizontal="right" vertical="center" shrinkToFit="1"/>
      <protection locked="0"/>
    </xf>
    <xf numFmtId="0" fontId="13" fillId="0" borderId="63" xfId="0" applyFont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>
      <alignment shrinkToFit="1"/>
    </xf>
    <xf numFmtId="0" fontId="1" fillId="4" borderId="0" xfId="0" applyFont="1" applyFill="1" applyProtection="1">
      <protection locked="0"/>
    </xf>
    <xf numFmtId="0" fontId="1" fillId="6" borderId="0" xfId="0" applyFont="1" applyFill="1" applyProtection="1"/>
    <xf numFmtId="0" fontId="18" fillId="6" borderId="0" xfId="0" applyFont="1" applyFill="1" applyProtection="1"/>
    <xf numFmtId="0" fontId="0" fillId="0" borderId="0" xfId="0" applyProtection="1"/>
    <xf numFmtId="0" fontId="26" fillId="4" borderId="0" xfId="0" applyFont="1" applyFill="1" applyProtection="1">
      <protection locked="0"/>
    </xf>
    <xf numFmtId="0" fontId="26" fillId="3" borderId="12" xfId="0" applyFont="1" applyFill="1" applyBorder="1" applyProtection="1">
      <protection locked="0"/>
    </xf>
    <xf numFmtId="0" fontId="26" fillId="3" borderId="13" xfId="0" applyFont="1" applyFill="1" applyBorder="1" applyProtection="1">
      <protection locked="0"/>
    </xf>
    <xf numFmtId="0" fontId="27" fillId="0" borderId="0" xfId="0" applyFont="1" applyAlignment="1">
      <alignment vertical="center"/>
    </xf>
    <xf numFmtId="0" fontId="26" fillId="0" borderId="0" xfId="0" applyFont="1" applyProtection="1">
      <protection locked="0"/>
    </xf>
    <xf numFmtId="0" fontId="19" fillId="3" borderId="0" xfId="0" applyFont="1" applyFill="1" applyProtection="1">
      <protection locked="0"/>
    </xf>
    <xf numFmtId="0" fontId="23" fillId="0" borderId="23" xfId="0" applyFont="1" applyBorder="1" applyAlignment="1">
      <alignment shrinkToFit="1"/>
    </xf>
    <xf numFmtId="0" fontId="0" fillId="0" borderId="0" xfId="0" applyFill="1"/>
    <xf numFmtId="0" fontId="0" fillId="0" borderId="0" xfId="0" quotePrefix="1" applyFill="1"/>
    <xf numFmtId="0" fontId="0" fillId="0" borderId="0" xfId="0" applyFill="1" applyProtection="1">
      <protection locked="0"/>
    </xf>
    <xf numFmtId="10" fontId="0" fillId="0" borderId="0" xfId="0" applyNumberFormat="1" applyFill="1"/>
    <xf numFmtId="0" fontId="0" fillId="0" borderId="0" xfId="0" applyAlignment="1" applyProtection="1">
      <alignment horizontal="right"/>
      <protection locked="0"/>
    </xf>
    <xf numFmtId="0" fontId="3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3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/>
      <protection locked="0"/>
    </xf>
    <xf numFmtId="0" fontId="3" fillId="0" borderId="80" xfId="0" applyFont="1" applyBorder="1" applyAlignment="1" applyProtection="1">
      <alignment vertical="center"/>
      <protection locked="0"/>
    </xf>
    <xf numFmtId="0" fontId="28" fillId="0" borderId="79" xfId="0" applyFont="1" applyBorder="1" applyAlignment="1">
      <alignment vertical="center" wrapText="1"/>
    </xf>
    <xf numFmtId="0" fontId="23" fillId="0" borderId="0" xfId="0" applyFont="1" applyBorder="1" applyAlignment="1">
      <alignment shrinkToFit="1"/>
    </xf>
    <xf numFmtId="0" fontId="29" fillId="0" borderId="0" xfId="0" applyFont="1" applyAlignment="1">
      <alignment vertical="center"/>
    </xf>
    <xf numFmtId="0" fontId="23" fillId="0" borderId="52" xfId="0" applyFont="1" applyBorder="1" applyAlignment="1">
      <alignment horizontal="center" shrinkToFit="1"/>
    </xf>
    <xf numFmtId="0" fontId="23" fillId="0" borderId="52" xfId="0" applyFont="1" applyBorder="1" applyAlignment="1">
      <alignment shrinkToFit="1"/>
    </xf>
    <xf numFmtId="0" fontId="23" fillId="0" borderId="24" xfId="0" applyFont="1" applyBorder="1" applyAlignment="1">
      <alignment horizontal="center" shrinkToFit="1"/>
    </xf>
    <xf numFmtId="0" fontId="23" fillId="0" borderId="31" xfId="0" applyFont="1" applyBorder="1" applyAlignment="1">
      <alignment horizontal="center" shrinkToFit="1"/>
    </xf>
    <xf numFmtId="0" fontId="23" fillId="0" borderId="24" xfId="0" applyFont="1" applyBorder="1" applyAlignment="1">
      <alignment shrinkToFit="1"/>
    </xf>
    <xf numFmtId="0" fontId="23" fillId="0" borderId="81" xfId="0" applyFont="1" applyBorder="1" applyAlignment="1">
      <alignment shrinkToFit="1"/>
    </xf>
    <xf numFmtId="0" fontId="23" fillId="0" borderId="82" xfId="0" applyFont="1" applyBorder="1" applyAlignment="1">
      <alignment shrinkToFit="1"/>
    </xf>
    <xf numFmtId="0" fontId="23" fillId="0" borderId="83" xfId="0" applyFont="1" applyBorder="1" applyAlignment="1">
      <alignment shrinkToFit="1"/>
    </xf>
    <xf numFmtId="0" fontId="23" fillId="0" borderId="0" xfId="0" applyFont="1" applyBorder="1" applyAlignment="1">
      <alignment vertical="center" shrinkToFit="1"/>
    </xf>
    <xf numFmtId="0" fontId="23" fillId="0" borderId="84" xfId="0" applyFont="1" applyBorder="1" applyAlignment="1">
      <alignment vertical="center" shrinkToFit="1"/>
    </xf>
    <xf numFmtId="0" fontId="23" fillId="0" borderId="85" xfId="0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86" xfId="0" applyFont="1" applyBorder="1" applyAlignment="1">
      <alignment vertical="center" shrinkToFit="1"/>
    </xf>
    <xf numFmtId="0" fontId="1" fillId="0" borderId="0" xfId="0" applyFont="1" applyAlignment="1"/>
    <xf numFmtId="0" fontId="1" fillId="0" borderId="87" xfId="0" applyFont="1" applyFill="1" applyBorder="1" applyAlignment="1"/>
    <xf numFmtId="0" fontId="23" fillId="0" borderId="88" xfId="0" applyFont="1" applyBorder="1" applyAlignment="1">
      <alignment shrinkToFit="1"/>
    </xf>
    <xf numFmtId="0" fontId="23" fillId="0" borderId="89" xfId="0" applyFont="1" applyBorder="1" applyAlignment="1">
      <alignment shrinkToFit="1"/>
    </xf>
    <xf numFmtId="0" fontId="23" fillId="0" borderId="24" xfId="0" applyFont="1" applyBorder="1" applyAlignment="1">
      <alignment vertical="center" shrinkToFit="1"/>
    </xf>
    <xf numFmtId="0" fontId="23" fillId="0" borderId="23" xfId="0" applyFont="1" applyBorder="1" applyAlignment="1">
      <alignment vertical="center" shrinkToFit="1"/>
    </xf>
    <xf numFmtId="0" fontId="25" fillId="0" borderId="52" xfId="0" applyFont="1" applyBorder="1" applyAlignment="1">
      <alignment vertical="center" shrinkToFit="1"/>
    </xf>
    <xf numFmtId="0" fontId="23" fillId="0" borderId="81" xfId="0" applyNumberFormat="1" applyFont="1" applyBorder="1" applyAlignment="1">
      <alignment shrinkToFit="1"/>
    </xf>
    <xf numFmtId="0" fontId="23" fillId="0" borderId="24" xfId="0" applyNumberFormat="1" applyFont="1" applyBorder="1" applyAlignment="1">
      <alignment shrinkToFit="1"/>
    </xf>
    <xf numFmtId="0" fontId="25" fillId="0" borderId="93" xfId="0" applyFont="1" applyBorder="1" applyAlignment="1">
      <alignment shrinkToFit="1"/>
    </xf>
    <xf numFmtId="0" fontId="23" fillId="0" borderId="94" xfId="0" applyFont="1" applyBorder="1" applyAlignment="1">
      <alignment vertical="center" shrinkToFit="1"/>
    </xf>
    <xf numFmtId="0" fontId="23" fillId="0" borderId="95" xfId="0" applyFont="1" applyBorder="1" applyAlignment="1">
      <alignment vertical="center" shrinkToFit="1"/>
    </xf>
    <xf numFmtId="0" fontId="25" fillId="0" borderId="96" xfId="0" applyFont="1" applyBorder="1" applyAlignment="1">
      <alignment vertical="center" shrinkToFit="1"/>
    </xf>
    <xf numFmtId="0" fontId="29" fillId="0" borderId="39" xfId="0" applyFont="1" applyBorder="1" applyAlignment="1" applyProtection="1">
      <alignment vertical="center" shrinkToFit="1"/>
      <protection locked="0"/>
    </xf>
    <xf numFmtId="183" fontId="23" fillId="0" borderId="94" xfId="0" quotePrefix="1" applyNumberFormat="1" applyFont="1" applyBorder="1" applyAlignment="1">
      <alignment vertical="center" shrinkToFit="1"/>
    </xf>
    <xf numFmtId="183" fontId="23" fillId="0" borderId="24" xfId="0" quotePrefix="1" applyNumberFormat="1" applyFont="1" applyBorder="1" applyAlignment="1">
      <alignment vertical="center" shrinkToFit="1"/>
    </xf>
    <xf numFmtId="183" fontId="23" fillId="0" borderId="88" xfId="0" applyNumberFormat="1" applyFont="1" applyBorder="1" applyAlignment="1">
      <alignment shrinkToFit="1"/>
    </xf>
    <xf numFmtId="0" fontId="13" fillId="0" borderId="74" xfId="0" applyFont="1" applyBorder="1" applyAlignment="1" applyProtection="1">
      <alignment vertical="center"/>
      <protection locked="0"/>
    </xf>
    <xf numFmtId="177" fontId="13" fillId="0" borderId="39" xfId="0" applyNumberFormat="1" applyFont="1" applyBorder="1" applyAlignment="1" applyProtection="1">
      <alignment vertical="center"/>
      <protection locked="0"/>
    </xf>
    <xf numFmtId="184" fontId="23" fillId="0" borderId="84" xfId="0" applyNumberFormat="1" applyFont="1" applyBorder="1" applyAlignment="1">
      <alignment vertical="center" shrinkToFit="1"/>
    </xf>
    <xf numFmtId="184" fontId="23" fillId="0" borderId="85" xfId="0" applyNumberFormat="1" applyFont="1" applyBorder="1" applyAlignment="1">
      <alignment vertical="center" shrinkToFit="1"/>
    </xf>
    <xf numFmtId="184" fontId="23" fillId="0" borderId="98" xfId="0" applyNumberFormat="1" applyFont="1" applyBorder="1" applyAlignment="1">
      <alignment vertical="center" shrinkToFit="1"/>
    </xf>
    <xf numFmtId="185" fontId="23" fillId="0" borderId="94" xfId="0" applyNumberFormat="1" applyFont="1" applyBorder="1" applyAlignment="1">
      <alignment vertical="center" shrinkToFit="1"/>
    </xf>
    <xf numFmtId="185" fontId="23" fillId="0" borderId="95" xfId="0" applyNumberFormat="1" applyFont="1" applyBorder="1" applyAlignment="1">
      <alignment vertical="center" shrinkToFit="1"/>
    </xf>
    <xf numFmtId="185" fontId="23" fillId="0" borderId="99" xfId="0" applyNumberFormat="1" applyFont="1" applyBorder="1" applyAlignment="1">
      <alignment vertical="center" shrinkToFit="1"/>
    </xf>
    <xf numFmtId="185" fontId="23" fillId="0" borderId="24" xfId="0" applyNumberFormat="1" applyFont="1" applyBorder="1" applyAlignment="1">
      <alignment vertical="center" shrinkToFit="1"/>
    </xf>
    <xf numFmtId="185" fontId="23" fillId="0" borderId="23" xfId="0" applyNumberFormat="1" applyFont="1" applyBorder="1" applyAlignment="1">
      <alignment vertical="center" shrinkToFit="1"/>
    </xf>
    <xf numFmtId="185" fontId="23" fillId="0" borderId="31" xfId="0" applyNumberFormat="1" applyFont="1" applyBorder="1" applyAlignment="1">
      <alignment vertical="center" shrinkToFit="1"/>
    </xf>
    <xf numFmtId="185" fontId="23" fillId="0" borderId="88" xfId="0" applyNumberFormat="1" applyFont="1" applyBorder="1" applyAlignment="1">
      <alignment shrinkToFit="1"/>
    </xf>
    <xf numFmtId="185" fontId="23" fillId="0" borderId="89" xfId="0" applyNumberFormat="1" applyFont="1" applyBorder="1" applyAlignment="1">
      <alignment shrinkToFit="1"/>
    </xf>
    <xf numFmtId="185" fontId="23" fillId="0" borderId="100" xfId="0" applyNumberFormat="1" applyFont="1" applyBorder="1" applyAlignment="1">
      <alignment shrinkToFit="1"/>
    </xf>
    <xf numFmtId="0" fontId="3" fillId="0" borderId="23" xfId="0" applyFont="1" applyBorder="1" applyAlignment="1">
      <alignment vertical="center"/>
    </xf>
    <xf numFmtId="0" fontId="3" fillId="0" borderId="82" xfId="0" applyFont="1" applyBorder="1" applyAlignment="1">
      <alignment vertical="center"/>
    </xf>
    <xf numFmtId="179" fontId="13" fillId="7" borderId="76" xfId="0" applyNumberFormat="1" applyFont="1" applyFill="1" applyBorder="1" applyAlignment="1" applyProtection="1">
      <alignment vertical="center" shrinkToFit="1"/>
      <protection locked="0"/>
    </xf>
    <xf numFmtId="21" fontId="13" fillId="0" borderId="73" xfId="0" applyNumberFormat="1" applyFont="1" applyBorder="1" applyAlignment="1" applyProtection="1">
      <alignment vertical="center" wrapText="1"/>
      <protection locked="0"/>
    </xf>
    <xf numFmtId="179" fontId="13" fillId="7" borderId="72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/>
      <protection locked="0"/>
    </xf>
    <xf numFmtId="179" fontId="13" fillId="7" borderId="6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79" fontId="23" fillId="0" borderId="0" xfId="0" applyNumberFormat="1" applyFont="1" applyAlignment="1">
      <alignment vertical="center"/>
    </xf>
    <xf numFmtId="9" fontId="10" fillId="8" borderId="0" xfId="0" applyNumberFormat="1" applyFont="1" applyFill="1" applyAlignment="1">
      <alignment horizontal="center" vertical="center"/>
    </xf>
    <xf numFmtId="21" fontId="13" fillId="0" borderId="73" xfId="0" quotePrefix="1" applyNumberFormat="1" applyFont="1" applyBorder="1" applyAlignment="1" applyProtection="1">
      <alignment vertical="center" wrapText="1"/>
      <protection locked="0"/>
    </xf>
    <xf numFmtId="0" fontId="0" fillId="3" borderId="0" xfId="0" applyFill="1" applyAlignment="1" applyProtection="1">
      <protection locked="0"/>
    </xf>
    <xf numFmtId="0" fontId="28" fillId="0" borderId="14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/>
      <protection locked="0"/>
    </xf>
    <xf numFmtId="0" fontId="22" fillId="0" borderId="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 shrinkToFit="1"/>
      <protection locked="0"/>
    </xf>
    <xf numFmtId="0" fontId="3" fillId="0" borderId="80" xfId="0" applyFont="1" applyBorder="1" applyAlignment="1" applyProtection="1">
      <alignment vertical="center" shrinkToFit="1"/>
      <protection locked="0"/>
    </xf>
    <xf numFmtId="0" fontId="3" fillId="0" borderId="11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3" fillId="0" borderId="80" xfId="0" applyFont="1" applyBorder="1" applyAlignment="1">
      <alignment vertical="center" shrinkToFit="1"/>
    </xf>
    <xf numFmtId="0" fontId="3" fillId="0" borderId="79" xfId="0" applyFont="1" applyBorder="1" applyAlignment="1">
      <alignment vertical="center" shrinkToFit="1"/>
    </xf>
    <xf numFmtId="0" fontId="23" fillId="0" borderId="94" xfId="0" applyFont="1" applyBorder="1" applyAlignment="1">
      <alignment shrinkToFit="1"/>
    </xf>
    <xf numFmtId="0" fontId="23" fillId="0" borderId="95" xfId="0" applyFont="1" applyBorder="1" applyAlignment="1">
      <alignment shrinkToFit="1"/>
    </xf>
    <xf numFmtId="0" fontId="23" fillId="0" borderId="96" xfId="0" applyFont="1" applyBorder="1" applyAlignment="1">
      <alignment shrinkToFit="1"/>
    </xf>
    <xf numFmtId="178" fontId="4" fillId="7" borderId="0" xfId="0" applyNumberFormat="1" applyFont="1" applyFill="1" applyAlignment="1" applyProtection="1">
      <alignment vertical="center" shrinkToFi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9" fontId="23" fillId="0" borderId="0" xfId="0" applyNumberFormat="1" applyFont="1" applyFill="1" applyAlignment="1">
      <alignment horizontal="center" vertical="center"/>
    </xf>
    <xf numFmtId="0" fontId="17" fillId="0" borderId="2" xfId="0" applyFont="1" applyBorder="1" applyAlignment="1">
      <alignment horizontal="center" vertical="center" shrinkToFit="1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0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104" xfId="0" applyFont="1" applyBorder="1" applyAlignment="1">
      <alignment horizontal="center" vertical="center" shrinkToFit="1"/>
    </xf>
    <xf numFmtId="0" fontId="17" fillId="0" borderId="50" xfId="0" applyFont="1" applyBorder="1" applyAlignment="1">
      <alignment horizontal="center" vertical="center" shrinkToFit="1"/>
    </xf>
    <xf numFmtId="179" fontId="17" fillId="0" borderId="105" xfId="0" applyNumberFormat="1" applyFont="1" applyBorder="1" applyAlignment="1">
      <alignment horizontal="center" vertical="center" shrinkToFit="1"/>
    </xf>
    <xf numFmtId="179" fontId="17" fillId="0" borderId="106" xfId="0" applyNumberFormat="1" applyFont="1" applyBorder="1" applyAlignment="1">
      <alignment horizontal="center" vertical="center" shrinkToFit="1"/>
    </xf>
    <xf numFmtId="0" fontId="17" fillId="0" borderId="107" xfId="0" applyFont="1" applyBorder="1" applyAlignment="1">
      <alignment horizontal="center" vertical="center" shrinkToFit="1"/>
    </xf>
    <xf numFmtId="0" fontId="17" fillId="0" borderId="108" xfId="0" applyFont="1" applyBorder="1" applyAlignment="1">
      <alignment horizontal="center" vertical="center" shrinkToFit="1"/>
    </xf>
    <xf numFmtId="179" fontId="17" fillId="0" borderId="109" xfId="0" applyNumberFormat="1" applyFont="1" applyBorder="1" applyAlignment="1" applyProtection="1">
      <alignment horizontal="center" vertical="center" shrinkToFit="1"/>
    </xf>
    <xf numFmtId="0" fontId="17" fillId="0" borderId="17" xfId="0" applyFont="1" applyBorder="1" applyAlignment="1" applyProtection="1">
      <alignment horizontal="center" vertical="center" shrinkToFit="1"/>
      <protection locked="0"/>
    </xf>
    <xf numFmtId="178" fontId="17" fillId="0" borderId="67" xfId="0" applyNumberFormat="1" applyFont="1" applyBorder="1" applyAlignment="1" applyProtection="1">
      <alignment horizontal="center" vertical="center" shrinkToFit="1"/>
      <protection locked="0"/>
    </xf>
    <xf numFmtId="178" fontId="17" fillId="0" borderId="41" xfId="0" applyNumberFormat="1" applyFont="1" applyBorder="1" applyAlignment="1" applyProtection="1">
      <alignment horizontal="center" vertical="center" shrinkToFit="1"/>
      <protection locked="0"/>
    </xf>
    <xf numFmtId="0" fontId="17" fillId="0" borderId="110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vertical="center" shrinkToFit="1"/>
      <protection locked="0"/>
    </xf>
    <xf numFmtId="0" fontId="17" fillId="0" borderId="111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horizontal="center" vertical="center" shrinkToFit="1"/>
      <protection locked="0"/>
    </xf>
    <xf numFmtId="179" fontId="17" fillId="9" borderId="112" xfId="0" applyNumberFormat="1" applyFont="1" applyFill="1" applyBorder="1" applyAlignment="1" applyProtection="1">
      <alignment vertical="center" shrinkToFit="1"/>
      <protection locked="0"/>
    </xf>
    <xf numFmtId="178" fontId="17" fillId="0" borderId="113" xfId="0" applyNumberFormat="1" applyFont="1" applyBorder="1" applyAlignment="1" applyProtection="1">
      <alignment horizontal="center" vertical="center" shrinkToFit="1"/>
      <protection locked="0"/>
    </xf>
    <xf numFmtId="0" fontId="17" fillId="0" borderId="18" xfId="0" applyFont="1" applyBorder="1" applyAlignment="1" applyProtection="1">
      <alignment horizontal="center" vertical="center" shrinkToFit="1"/>
      <protection locked="0"/>
    </xf>
    <xf numFmtId="178" fontId="17" fillId="0" borderId="68" xfId="0" applyNumberFormat="1" applyFont="1" applyBorder="1" applyAlignment="1" applyProtection="1">
      <alignment horizontal="center" vertical="center" shrinkToFit="1"/>
      <protection locked="0"/>
    </xf>
    <xf numFmtId="178" fontId="17" fillId="0" borderId="42" xfId="0" applyNumberFormat="1" applyFont="1" applyBorder="1" applyAlignment="1" applyProtection="1">
      <alignment horizontal="center" vertical="center" shrinkToFit="1"/>
      <protection locked="0"/>
    </xf>
    <xf numFmtId="0" fontId="17" fillId="0" borderId="114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vertical="center" shrinkToFit="1"/>
      <protection locked="0"/>
    </xf>
    <xf numFmtId="0" fontId="17" fillId="0" borderId="23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horizontal="center" vertical="center" shrinkToFit="1"/>
      <protection locked="0"/>
    </xf>
    <xf numFmtId="179" fontId="17" fillId="9" borderId="115" xfId="0" applyNumberFormat="1" applyFont="1" applyFill="1" applyBorder="1" applyAlignment="1" applyProtection="1">
      <alignment vertical="center" shrinkToFit="1"/>
      <protection locked="0"/>
    </xf>
    <xf numFmtId="178" fontId="17" fillId="0" borderId="116" xfId="0" applyNumberFormat="1" applyFont="1" applyBorder="1" applyAlignment="1" applyProtection="1">
      <alignment horizontal="center" vertical="center" shrinkToFit="1"/>
      <protection locked="0"/>
    </xf>
    <xf numFmtId="179" fontId="17" fillId="0" borderId="117" xfId="0" applyNumberFormat="1" applyFont="1" applyBorder="1" applyAlignment="1" applyProtection="1">
      <alignment vertical="center" shrinkToFit="1"/>
    </xf>
    <xf numFmtId="0" fontId="13" fillId="0" borderId="0" xfId="0" applyFont="1" applyAlignment="1">
      <alignment vertical="center"/>
    </xf>
    <xf numFmtId="186" fontId="13" fillId="0" borderId="63" xfId="0" applyNumberFormat="1" applyFont="1" applyBorder="1" applyAlignment="1" applyProtection="1">
      <alignment vertical="center"/>
      <protection locked="0"/>
    </xf>
    <xf numFmtId="186" fontId="13" fillId="0" borderId="73" xfId="0" applyNumberFormat="1" applyFont="1" applyBorder="1" applyAlignment="1" applyProtection="1">
      <alignment vertical="center" shrinkToFit="1"/>
      <protection locked="0"/>
    </xf>
    <xf numFmtId="186" fontId="13" fillId="0" borderId="76" xfId="0" applyNumberFormat="1" applyFont="1" applyBorder="1" applyAlignment="1" applyProtection="1">
      <alignment vertical="center" shrinkToFit="1"/>
      <protection locked="0"/>
    </xf>
    <xf numFmtId="0" fontId="28" fillId="0" borderId="11" xfId="0" applyFont="1" applyBorder="1" applyAlignment="1">
      <alignment vertical="center" wrapText="1"/>
    </xf>
    <xf numFmtId="0" fontId="23" fillId="0" borderId="119" xfId="0" applyFont="1" applyBorder="1" applyAlignment="1">
      <alignment horizontal="center" shrinkToFit="1"/>
    </xf>
    <xf numFmtId="0" fontId="23" fillId="0" borderId="120" xfId="0" applyFont="1" applyBorder="1" applyAlignment="1">
      <alignment horizontal="center" shrinkToFit="1"/>
    </xf>
    <xf numFmtId="0" fontId="31" fillId="0" borderId="120" xfId="0" applyNumberFormat="1" applyFont="1" applyBorder="1" applyAlignment="1">
      <alignment horizontal="center"/>
    </xf>
    <xf numFmtId="0" fontId="23" fillId="0" borderId="121" xfId="0" applyFont="1" applyBorder="1" applyAlignment="1">
      <alignment horizontal="center" shrinkToFit="1"/>
    </xf>
    <xf numFmtId="184" fontId="23" fillId="0" borderId="120" xfId="0" applyNumberFormat="1" applyFont="1" applyBorder="1" applyAlignment="1">
      <alignment horizontal="center" shrinkToFit="1"/>
    </xf>
    <xf numFmtId="0" fontId="0" fillId="0" borderId="120" xfId="0" applyBorder="1" applyAlignment="1">
      <alignment horizontal="center" vertical="center" shrinkToFit="1"/>
    </xf>
    <xf numFmtId="0" fontId="23" fillId="0" borderId="120" xfId="0" applyFont="1" applyBorder="1" applyAlignment="1">
      <alignment shrinkToFit="1"/>
    </xf>
    <xf numFmtId="185" fontId="23" fillId="0" borderId="23" xfId="0" quotePrefix="1" applyNumberFormat="1" applyFont="1" applyBorder="1" applyAlignment="1">
      <alignment vertical="center" shrinkToFit="1"/>
    </xf>
    <xf numFmtId="185" fontId="23" fillId="0" borderId="85" xfId="0" applyNumberFormat="1" applyFont="1" applyBorder="1" applyAlignment="1">
      <alignment shrinkToFit="1"/>
    </xf>
    <xf numFmtId="184" fontId="23" fillId="0" borderId="85" xfId="0" quotePrefix="1" applyNumberFormat="1" applyFont="1" applyBorder="1" applyAlignment="1">
      <alignment vertical="center" shrinkToFit="1"/>
    </xf>
    <xf numFmtId="0" fontId="3" fillId="0" borderId="123" xfId="0" applyFont="1" applyBorder="1" applyAlignment="1" applyProtection="1">
      <alignment vertical="center"/>
      <protection locked="0"/>
    </xf>
    <xf numFmtId="179" fontId="3" fillId="7" borderId="79" xfId="0" applyNumberFormat="1" applyFont="1" applyFill="1" applyBorder="1" applyAlignment="1" applyProtection="1">
      <alignment vertical="center"/>
    </xf>
    <xf numFmtId="179" fontId="3" fillId="7" borderId="80" xfId="0" applyNumberFormat="1" applyFont="1" applyFill="1" applyBorder="1" applyAlignment="1" applyProtection="1">
      <alignment vertical="center"/>
    </xf>
    <xf numFmtId="179" fontId="3" fillId="7" borderId="123" xfId="0" applyNumberFormat="1" applyFont="1" applyFill="1" applyBorder="1" applyAlignment="1" applyProtection="1">
      <alignment vertical="center"/>
    </xf>
    <xf numFmtId="179" fontId="3" fillId="7" borderId="11" xfId="0" applyNumberFormat="1" applyFont="1" applyFill="1" applyBorder="1" applyAlignment="1" applyProtection="1">
      <alignment vertical="center"/>
    </xf>
    <xf numFmtId="186" fontId="13" fillId="0" borderId="63" xfId="0" applyNumberFormat="1" applyFont="1" applyBorder="1" applyAlignment="1" applyProtection="1">
      <alignment vertical="center"/>
    </xf>
    <xf numFmtId="0" fontId="17" fillId="0" borderId="125" xfId="0" applyFont="1" applyBorder="1" applyAlignment="1">
      <alignment horizontal="center" vertical="center" shrinkToFit="1"/>
    </xf>
    <xf numFmtId="0" fontId="17" fillId="0" borderId="126" xfId="0" applyFont="1" applyBorder="1" applyAlignment="1" applyProtection="1">
      <alignment horizontal="center" vertical="center" shrinkToFit="1"/>
      <protection locked="0"/>
    </xf>
    <xf numFmtId="178" fontId="17" fillId="0" borderId="127" xfId="0" applyNumberFormat="1" applyFont="1" applyBorder="1" applyAlignment="1" applyProtection="1">
      <alignment horizontal="center" vertical="center" shrinkToFit="1"/>
      <protection locked="0"/>
    </xf>
    <xf numFmtId="0" fontId="17" fillId="0" borderId="127" xfId="0" applyFont="1" applyBorder="1" applyAlignment="1" applyProtection="1">
      <alignment vertical="center" shrinkToFit="1"/>
      <protection locked="0"/>
    </xf>
    <xf numFmtId="0" fontId="17" fillId="0" borderId="128" xfId="0" applyFont="1" applyBorder="1" applyAlignment="1" applyProtection="1">
      <alignment horizontal="right" vertical="center" shrinkToFit="1"/>
      <protection locked="0"/>
    </xf>
    <xf numFmtId="179" fontId="17" fillId="10" borderId="129" xfId="0" applyNumberFormat="1" applyFont="1" applyFill="1" applyBorder="1" applyAlignment="1" applyProtection="1">
      <alignment vertical="center" shrinkToFit="1"/>
      <protection locked="0"/>
    </xf>
    <xf numFmtId="0" fontId="17" fillId="0" borderId="1" xfId="0" applyFont="1" applyBorder="1" applyAlignment="1" applyProtection="1">
      <alignment horizontal="center" vertical="center" shrinkToFit="1"/>
      <protection locked="0"/>
    </xf>
    <xf numFmtId="178" fontId="17" fillId="0" borderId="2" xfId="0" applyNumberFormat="1" applyFont="1" applyBorder="1" applyAlignment="1" applyProtection="1">
      <alignment horizontal="center" vertical="center" shrinkToFit="1"/>
      <protection locked="0"/>
    </xf>
    <xf numFmtId="178" fontId="17" fillId="0" borderId="3" xfId="0" applyNumberFormat="1" applyFont="1" applyBorder="1" applyAlignment="1" applyProtection="1">
      <alignment horizontal="center" vertical="center" shrinkToFit="1"/>
      <protection locked="0"/>
    </xf>
    <xf numFmtId="0" fontId="17" fillId="0" borderId="130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horizontal="right" vertical="center" shrinkToFit="1"/>
      <protection locked="0"/>
    </xf>
    <xf numFmtId="0" fontId="17" fillId="0" borderId="131" xfId="0" applyFont="1" applyBorder="1" applyAlignment="1" applyProtection="1">
      <alignment horizontal="right" vertical="center" shrinkToFit="1"/>
      <protection locked="0"/>
    </xf>
    <xf numFmtId="0" fontId="17" fillId="0" borderId="132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vertical="center" shrinkToFit="1"/>
      <protection locked="0"/>
    </xf>
    <xf numFmtId="0" fontId="17" fillId="0" borderId="133" xfId="0" applyFont="1" applyBorder="1" applyAlignment="1" applyProtection="1">
      <alignment vertical="center" shrinkToFit="1"/>
      <protection locked="0"/>
    </xf>
    <xf numFmtId="176" fontId="17" fillId="0" borderId="134" xfId="0" applyNumberFormat="1" applyFont="1" applyBorder="1" applyAlignment="1" applyProtection="1">
      <alignment vertical="center" shrinkToFit="1"/>
    </xf>
    <xf numFmtId="0" fontId="17" fillId="0" borderId="135" xfId="0" applyFont="1" applyBorder="1" applyAlignment="1">
      <alignment horizontal="center" vertical="center" shrinkToFit="1"/>
    </xf>
    <xf numFmtId="0" fontId="17" fillId="0" borderId="136" xfId="0" applyFont="1" applyBorder="1" applyAlignment="1">
      <alignment horizontal="center" vertical="center" shrinkToFit="1"/>
    </xf>
    <xf numFmtId="179" fontId="17" fillId="10" borderId="137" xfId="0" applyNumberFormat="1" applyFont="1" applyFill="1" applyBorder="1" applyAlignment="1" applyProtection="1">
      <alignment vertical="center" shrinkToFit="1"/>
      <protection locked="0"/>
    </xf>
    <xf numFmtId="179" fontId="17" fillId="10" borderId="138" xfId="0" applyNumberFormat="1" applyFont="1" applyFill="1" applyBorder="1" applyAlignment="1" applyProtection="1">
      <alignment vertical="center" shrinkToFit="1"/>
      <protection locked="0"/>
    </xf>
    <xf numFmtId="0" fontId="32" fillId="0" borderId="0" xfId="0" applyFont="1"/>
    <xf numFmtId="0" fontId="2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 indent="1"/>
    </xf>
    <xf numFmtId="0" fontId="3" fillId="0" borderId="4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39" xfId="0" applyFont="1" applyBorder="1" applyAlignment="1">
      <alignment horizontal="center" vertical="center"/>
    </xf>
    <xf numFmtId="178" fontId="17" fillId="0" borderId="0" xfId="0" applyNumberFormat="1" applyFont="1" applyAlignment="1">
      <alignment vertical="center" shrinkToFit="1"/>
    </xf>
    <xf numFmtId="0" fontId="33" fillId="0" borderId="77" xfId="0" applyFont="1" applyBorder="1" applyAlignment="1" applyProtection="1">
      <alignment vertical="center"/>
    </xf>
    <xf numFmtId="0" fontId="3" fillId="0" borderId="140" xfId="0" applyNumberFormat="1" applyFont="1" applyBorder="1" applyAlignment="1">
      <alignment vertical="center"/>
    </xf>
    <xf numFmtId="0" fontId="3" fillId="0" borderId="23" xfId="0" applyNumberFormat="1" applyFont="1" applyBorder="1" applyAlignment="1">
      <alignment vertical="center"/>
    </xf>
    <xf numFmtId="0" fontId="3" fillId="0" borderId="141" xfId="0" applyFont="1" applyBorder="1"/>
    <xf numFmtId="0" fontId="3" fillId="0" borderId="23" xfId="0" applyFont="1" applyBorder="1"/>
    <xf numFmtId="0" fontId="3" fillId="0" borderId="23" xfId="0" applyFont="1" applyBorder="1" applyAlignment="1">
      <alignment horizontal="center"/>
    </xf>
    <xf numFmtId="0" fontId="28" fillId="0" borderId="23" xfId="0" applyFont="1" applyBorder="1" applyAlignment="1">
      <alignment horizontal="right" vertical="top"/>
    </xf>
    <xf numFmtId="0" fontId="4" fillId="0" borderId="141" xfId="0" applyFont="1" applyBorder="1" applyAlignment="1">
      <alignment horizontal="right" vertical="top"/>
    </xf>
    <xf numFmtId="0" fontId="4" fillId="0" borderId="142" xfId="0" applyFont="1" applyBorder="1" applyAlignment="1">
      <alignment horizontal="center" vertical="center"/>
    </xf>
    <xf numFmtId="0" fontId="4" fillId="0" borderId="143" xfId="0" applyFont="1" applyBorder="1" applyAlignment="1">
      <alignment horizontal="center" vertical="center"/>
    </xf>
    <xf numFmtId="178" fontId="17" fillId="0" borderId="0" xfId="0" applyNumberFormat="1" applyFont="1" applyAlignment="1" applyProtection="1">
      <alignment vertical="center" shrinkToFit="1"/>
      <protection locked="0"/>
    </xf>
    <xf numFmtId="0" fontId="3" fillId="0" borderId="144" xfId="0" applyNumberFormat="1" applyFont="1" applyBorder="1" applyAlignment="1">
      <alignment vertical="center" shrinkToFit="1"/>
    </xf>
    <xf numFmtId="187" fontId="3" fillId="0" borderId="142" xfId="0" applyNumberFormat="1" applyFont="1" applyBorder="1" applyAlignment="1">
      <alignment vertical="center"/>
    </xf>
    <xf numFmtId="187" fontId="3" fillId="0" borderId="23" xfId="0" applyNumberFormat="1" applyFont="1" applyBorder="1" applyAlignment="1">
      <alignment vertical="center"/>
    </xf>
    <xf numFmtId="177" fontId="3" fillId="0" borderId="23" xfId="0" applyNumberFormat="1" applyFont="1" applyBorder="1" applyAlignment="1">
      <alignment horizontal="center" vertical="center"/>
    </xf>
    <xf numFmtId="177" fontId="3" fillId="0" borderId="23" xfId="0" applyNumberFormat="1" applyFont="1" applyBorder="1" applyAlignment="1">
      <alignment vertical="center"/>
    </xf>
    <xf numFmtId="177" fontId="4" fillId="0" borderId="142" xfId="0" applyNumberFormat="1" applyFont="1" applyBorder="1" applyAlignment="1">
      <alignment vertical="center"/>
    </xf>
    <xf numFmtId="177" fontId="4" fillId="0" borderId="143" xfId="0" applyNumberFormat="1" applyFont="1" applyBorder="1" applyAlignment="1">
      <alignment vertical="center"/>
    </xf>
    <xf numFmtId="0" fontId="3" fillId="0" borderId="140" xfId="0" applyNumberFormat="1" applyFont="1" applyBorder="1" applyAlignment="1">
      <alignment horizontal="center" vertical="center"/>
    </xf>
    <xf numFmtId="0" fontId="9" fillId="0" borderId="145" xfId="0" applyFont="1" applyBorder="1" applyAlignment="1" applyProtection="1">
      <alignment vertical="center"/>
      <protection locked="0"/>
    </xf>
    <xf numFmtId="177" fontId="3" fillId="0" borderId="142" xfId="0" applyNumberFormat="1" applyFont="1" applyBorder="1" applyAlignment="1">
      <alignment vertical="center"/>
    </xf>
    <xf numFmtId="177" fontId="3" fillId="0" borderId="143" xfId="0" applyNumberFormat="1" applyFont="1" applyBorder="1" applyAlignment="1">
      <alignment vertical="center"/>
    </xf>
    <xf numFmtId="0" fontId="3" fillId="0" borderId="126" xfId="0" applyNumberFormat="1" applyFont="1" applyBorder="1" applyAlignment="1">
      <alignment vertical="center" shrinkToFit="1"/>
    </xf>
    <xf numFmtId="0" fontId="9" fillId="0" borderId="146" xfId="0" applyFont="1" applyBorder="1" applyAlignment="1" applyProtection="1">
      <alignment vertical="center"/>
      <protection locked="0"/>
    </xf>
    <xf numFmtId="0" fontId="3" fillId="0" borderId="118" xfId="0" applyNumberFormat="1" applyFont="1" applyBorder="1" applyAlignment="1">
      <alignment vertical="center"/>
    </xf>
    <xf numFmtId="177" fontId="3" fillId="0" borderId="127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horizontal="center" vertical="center"/>
    </xf>
    <xf numFmtId="177" fontId="3" fillId="0" borderId="147" xfId="0" applyNumberFormat="1" applyFont="1" applyBorder="1" applyAlignment="1">
      <alignment vertical="center"/>
    </xf>
    <xf numFmtId="176" fontId="3" fillId="0" borderId="0" xfId="0" applyNumberFormat="1" applyFont="1" applyAlignment="1">
      <alignment horizontal="left" vertical="center" shrinkToFit="1"/>
    </xf>
    <xf numFmtId="177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5" fillId="0" borderId="0" xfId="0" applyNumberFormat="1" applyFont="1" applyBorder="1" applyAlignment="1" applyProtection="1">
      <alignment vertical="center" shrinkToFit="1"/>
    </xf>
    <xf numFmtId="176" fontId="13" fillId="0" borderId="0" xfId="0" applyNumberFormat="1" applyFont="1" applyBorder="1" applyAlignment="1" applyProtection="1">
      <alignment horizontal="right" vertical="center"/>
    </xf>
    <xf numFmtId="0" fontId="17" fillId="0" borderId="49" xfId="0" applyFont="1" applyBorder="1" applyAlignment="1" applyProtection="1">
      <alignment horizontal="center" vertical="center" shrinkToFit="1"/>
      <protection locked="0"/>
    </xf>
    <xf numFmtId="0" fontId="25" fillId="0" borderId="84" xfId="0" applyFont="1" applyBorder="1" applyAlignment="1">
      <alignment horizontal="right" vertical="center" shrinkToFit="1"/>
    </xf>
    <xf numFmtId="0" fontId="23" fillId="0" borderId="149" xfId="0" applyNumberFormat="1" applyFont="1" applyBorder="1" applyAlignment="1">
      <alignment horizontal="center" shrinkToFit="1"/>
    </xf>
    <xf numFmtId="0" fontId="23" fillId="11" borderId="14" xfId="0" applyFont="1" applyFill="1" applyBorder="1" applyAlignment="1">
      <alignment vertical="center" shrinkToFit="1"/>
    </xf>
    <xf numFmtId="0" fontId="23" fillId="11" borderId="15" xfId="0" applyFont="1" applyFill="1" applyBorder="1" applyAlignment="1">
      <alignment vertical="center" shrinkToFit="1"/>
    </xf>
    <xf numFmtId="0" fontId="23" fillId="11" borderId="123" xfId="0" applyFont="1" applyFill="1" applyBorder="1" applyAlignment="1">
      <alignment vertical="center" shrinkToFit="1"/>
    </xf>
    <xf numFmtId="0" fontId="23" fillId="11" borderId="150" xfId="0" applyFont="1" applyFill="1" applyBorder="1" applyAlignment="1">
      <alignment horizontal="center" shrinkToFit="1"/>
    </xf>
    <xf numFmtId="0" fontId="23" fillId="11" borderId="151" xfId="0" applyFont="1" applyFill="1" applyBorder="1" applyAlignment="1">
      <alignment horizontal="center" shrinkToFit="1"/>
    </xf>
    <xf numFmtId="0" fontId="23" fillId="11" borderId="152" xfId="0" applyFont="1" applyFill="1" applyBorder="1" applyAlignment="1">
      <alignment horizontal="center" shrinkToFit="1"/>
    </xf>
    <xf numFmtId="0" fontId="23" fillId="11" borderId="14" xfId="0" applyFont="1" applyFill="1" applyBorder="1" applyAlignment="1">
      <alignment shrinkToFit="1"/>
    </xf>
    <xf numFmtId="0" fontId="23" fillId="11" borderId="15" xfId="0" applyFont="1" applyFill="1" applyBorder="1" applyAlignment="1">
      <alignment shrinkToFit="1"/>
    </xf>
    <xf numFmtId="0" fontId="23" fillId="11" borderId="123" xfId="0" applyFont="1" applyFill="1" applyBorder="1" applyAlignment="1">
      <alignment shrinkToFit="1"/>
    </xf>
    <xf numFmtId="0" fontId="23" fillId="0" borderId="0" xfId="0" applyFont="1" applyBorder="1" applyAlignment="1">
      <alignment horizontal="center" shrinkToFit="1"/>
    </xf>
    <xf numFmtId="0" fontId="23" fillId="0" borderId="0" xfId="0" applyNumberFormat="1" applyFont="1" applyBorder="1" applyAlignment="1">
      <alignment shrinkToFit="1"/>
    </xf>
    <xf numFmtId="184" fontId="23" fillId="11" borderId="94" xfId="0" applyNumberFormat="1" applyFont="1" applyFill="1" applyBorder="1" applyAlignment="1">
      <alignment vertical="center" shrinkToFit="1"/>
    </xf>
    <xf numFmtId="184" fontId="23" fillId="11" borderId="95" xfId="0" applyNumberFormat="1" applyFont="1" applyFill="1" applyBorder="1" applyAlignment="1">
      <alignment vertical="center" shrinkToFit="1"/>
    </xf>
    <xf numFmtId="184" fontId="23" fillId="11" borderId="99" xfId="0" applyNumberFormat="1" applyFont="1" applyFill="1" applyBorder="1" applyAlignment="1">
      <alignment vertical="center" shrinkToFit="1"/>
    </xf>
    <xf numFmtId="0" fontId="23" fillId="0" borderId="0" xfId="0" applyFont="1" applyAlignment="1">
      <alignment horizontal="center" shrinkToFit="1"/>
    </xf>
    <xf numFmtId="184" fontId="23" fillId="11" borderId="24" xfId="0" applyNumberFormat="1" applyFont="1" applyFill="1" applyBorder="1" applyAlignment="1">
      <alignment vertical="center" shrinkToFit="1"/>
    </xf>
    <xf numFmtId="184" fontId="23" fillId="11" borderId="23" xfId="0" applyNumberFormat="1" applyFont="1" applyFill="1" applyBorder="1" applyAlignment="1">
      <alignment vertical="center" shrinkToFit="1"/>
    </xf>
    <xf numFmtId="184" fontId="23" fillId="11" borderId="31" xfId="0" applyNumberFormat="1" applyFont="1" applyFill="1" applyBorder="1" applyAlignment="1">
      <alignment vertical="center" shrinkToFit="1"/>
    </xf>
    <xf numFmtId="184" fontId="23" fillId="11" borderId="85" xfId="0" applyNumberFormat="1" applyFont="1" applyFill="1" applyBorder="1" applyAlignment="1">
      <alignment vertical="center" shrinkToFit="1"/>
    </xf>
    <xf numFmtId="184" fontId="23" fillId="11" borderId="98" xfId="0" applyNumberFormat="1" applyFont="1" applyFill="1" applyBorder="1" applyAlignment="1">
      <alignment vertical="center" shrinkToFit="1"/>
    </xf>
    <xf numFmtId="0" fontId="23" fillId="0" borderId="87" xfId="0" applyNumberFormat="1" applyFont="1" applyBorder="1" applyAlignment="1">
      <alignment shrinkToFit="1"/>
    </xf>
    <xf numFmtId="0" fontId="23" fillId="0" borderId="87" xfId="0" applyFont="1" applyBorder="1" applyAlignment="1">
      <alignment shrinkToFit="1"/>
    </xf>
    <xf numFmtId="177" fontId="30" fillId="0" borderId="87" xfId="0" applyNumberFormat="1" applyFont="1" applyBorder="1" applyAlignment="1">
      <alignment shrinkToFit="1"/>
    </xf>
    <xf numFmtId="0" fontId="30" fillId="0" borderId="87" xfId="0" applyFont="1" applyBorder="1" applyAlignment="1"/>
    <xf numFmtId="177" fontId="23" fillId="0" borderId="87" xfId="0" applyNumberFormat="1" applyFont="1" applyBorder="1" applyAlignment="1">
      <alignment shrinkToFit="1"/>
    </xf>
    <xf numFmtId="184" fontId="23" fillId="0" borderId="0" xfId="0" applyNumberFormat="1" applyFont="1" applyFill="1" applyBorder="1" applyAlignment="1">
      <alignment vertical="center" shrinkToFit="1"/>
    </xf>
    <xf numFmtId="0" fontId="28" fillId="0" borderId="80" xfId="0" applyFont="1" applyBorder="1" applyAlignment="1">
      <alignment vertical="center"/>
    </xf>
    <xf numFmtId="0" fontId="28" fillId="0" borderId="80" xfId="0" applyFont="1" applyBorder="1" applyAlignment="1">
      <alignment vertical="center" wrapText="1"/>
    </xf>
    <xf numFmtId="0" fontId="23" fillId="6" borderId="0" xfId="0" applyFont="1" applyFill="1"/>
    <xf numFmtId="179" fontId="17" fillId="0" borderId="161" xfId="0" applyNumberFormat="1" applyFont="1" applyBorder="1" applyAlignment="1" applyProtection="1">
      <alignment horizontal="center" vertical="center" shrinkToFit="1"/>
      <protection locked="0"/>
    </xf>
    <xf numFmtId="179" fontId="17" fillId="0" borderId="127" xfId="0" applyNumberFormat="1" applyFont="1" applyBorder="1" applyAlignment="1">
      <alignment horizontal="center" vertical="center" shrinkToFit="1"/>
    </xf>
    <xf numFmtId="0" fontId="17" fillId="0" borderId="134" xfId="0" applyNumberFormat="1" applyFont="1" applyFill="1" applyBorder="1" applyAlignment="1" applyProtection="1">
      <alignment vertical="center" shrinkToFit="1"/>
    </xf>
    <xf numFmtId="0" fontId="17" fillId="0" borderId="185" xfId="0" applyFont="1" applyBorder="1" applyAlignment="1" applyProtection="1">
      <alignment horizontal="center" vertical="center" shrinkToFit="1"/>
      <protection locked="0"/>
    </xf>
    <xf numFmtId="178" fontId="17" fillId="0" borderId="186" xfId="0" applyNumberFormat="1" applyFont="1" applyBorder="1" applyAlignment="1" applyProtection="1">
      <alignment horizontal="center" vertical="center" shrinkToFit="1"/>
      <protection locked="0"/>
    </xf>
    <xf numFmtId="178" fontId="17" fillId="0" borderId="187" xfId="0" applyNumberFormat="1" applyFont="1" applyBorder="1" applyAlignment="1" applyProtection="1">
      <alignment horizontal="center" vertical="center" shrinkToFit="1"/>
      <protection locked="0"/>
    </xf>
    <xf numFmtId="0" fontId="17" fillId="0" borderId="188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vertical="center" shrinkToFit="1"/>
      <protection locked="0"/>
    </xf>
    <xf numFmtId="0" fontId="17" fillId="0" borderId="120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horizontal="center" vertical="center" shrinkToFit="1"/>
      <protection locked="0"/>
    </xf>
    <xf numFmtId="179" fontId="17" fillId="9" borderId="189" xfId="0" applyNumberFormat="1" applyFont="1" applyFill="1" applyBorder="1" applyAlignment="1" applyProtection="1">
      <alignment vertical="center" shrinkToFit="1"/>
      <protection locked="0"/>
    </xf>
    <xf numFmtId="178" fontId="17" fillId="0" borderId="190" xfId="0" applyNumberFormat="1" applyFont="1" applyBorder="1" applyAlignment="1" applyProtection="1">
      <alignment horizontal="center" vertical="center" shrinkToFit="1"/>
      <protection locked="0"/>
    </xf>
    <xf numFmtId="0" fontId="17" fillId="0" borderId="191" xfId="0" applyFont="1" applyBorder="1" applyAlignment="1" applyProtection="1">
      <alignment horizontal="center" vertical="center" shrinkToFit="1"/>
      <protection locked="0"/>
    </xf>
    <xf numFmtId="178" fontId="17" fillId="0" borderId="192" xfId="0" applyNumberFormat="1" applyFont="1" applyBorder="1" applyAlignment="1" applyProtection="1">
      <alignment horizontal="center" vertical="center" shrinkToFit="1"/>
      <protection locked="0"/>
    </xf>
    <xf numFmtId="0" fontId="17" fillId="0" borderId="192" xfId="0" applyFont="1" applyBorder="1" applyAlignment="1" applyProtection="1">
      <alignment vertical="center" shrinkToFit="1"/>
      <protection locked="0"/>
    </xf>
    <xf numFmtId="0" fontId="17" fillId="0" borderId="192" xfId="0" applyFont="1" applyBorder="1" applyAlignment="1" applyProtection="1">
      <alignment horizontal="center" vertical="center" shrinkToFit="1"/>
      <protection locked="0"/>
    </xf>
    <xf numFmtId="179" fontId="17" fillId="12" borderId="192" xfId="0" applyNumberFormat="1" applyFont="1" applyFill="1" applyBorder="1" applyAlignment="1" applyProtection="1">
      <alignment vertical="center" shrinkToFit="1"/>
      <protection locked="0"/>
    </xf>
    <xf numFmtId="179" fontId="17" fillId="13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84" xfId="0" applyNumberFormat="1" applyFont="1" applyBorder="1" applyAlignment="1" applyProtection="1">
      <alignment vertical="center" shrinkToFit="1"/>
    </xf>
    <xf numFmtId="179" fontId="17" fillId="0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94" xfId="0" applyNumberFormat="1" applyFont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14" borderId="117" xfId="0" applyNumberFormat="1" applyFont="1" applyFill="1" applyBorder="1" applyAlignment="1" applyProtection="1">
      <alignment vertical="center" shrinkToFit="1"/>
    </xf>
    <xf numFmtId="179" fontId="17" fillId="14" borderId="142" xfId="0" applyNumberFormat="1" applyFont="1" applyFill="1" applyBorder="1" applyAlignment="1" applyProtection="1">
      <alignment vertical="center" shrinkToFit="1"/>
      <protection locked="0"/>
    </xf>
    <xf numFmtId="179" fontId="17" fillId="14" borderId="193" xfId="0" applyNumberFormat="1" applyFont="1" applyFill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0" borderId="124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95" xfId="0" applyNumberFormat="1" applyFont="1" applyFill="1" applyBorder="1" applyAlignment="1" applyProtection="1">
      <alignment vertical="center" shrinkToFit="1"/>
      <protection locked="0"/>
    </xf>
    <xf numFmtId="179" fontId="17" fillId="0" borderId="196" xfId="0" applyNumberFormat="1" applyFont="1" applyFill="1" applyBorder="1" applyAlignment="1" applyProtection="1">
      <alignment vertical="center" shrinkToFit="1"/>
      <protection locked="0"/>
    </xf>
    <xf numFmtId="179" fontId="17" fillId="0" borderId="44" xfId="0" applyNumberFormat="1" applyFont="1" applyBorder="1" applyAlignment="1" applyProtection="1">
      <alignment horizontal="center" vertical="center" shrinkToFit="1"/>
      <protection locked="0"/>
    </xf>
    <xf numFmtId="179" fontId="17" fillId="0" borderId="197" xfId="0" applyNumberFormat="1" applyFont="1" applyBorder="1" applyAlignment="1" applyProtection="1">
      <alignment vertical="center" shrinkToFit="1"/>
    </xf>
    <xf numFmtId="0" fontId="17" fillId="0" borderId="198" xfId="0" applyFont="1" applyBorder="1" applyAlignment="1">
      <alignment vertical="center"/>
    </xf>
    <xf numFmtId="0" fontId="4" fillId="0" borderId="198" xfId="0" applyFont="1" applyBorder="1" applyAlignment="1">
      <alignment vertical="center"/>
    </xf>
    <xf numFmtId="0" fontId="0" fillId="0" borderId="192" xfId="0" applyBorder="1" applyAlignment="1">
      <alignment vertical="center"/>
    </xf>
    <xf numFmtId="0" fontId="0" fillId="0" borderId="199" xfId="0" applyBorder="1" applyAlignment="1">
      <alignment horizontal="right" vertical="center"/>
    </xf>
    <xf numFmtId="179" fontId="17" fillId="0" borderId="192" xfId="0" applyNumberFormat="1" applyFont="1" applyFill="1" applyBorder="1" applyAlignment="1" applyProtection="1">
      <alignment vertical="center" shrinkToFit="1"/>
    </xf>
    <xf numFmtId="0" fontId="17" fillId="0" borderId="111" xfId="0" applyFont="1" applyFill="1" applyBorder="1" applyAlignment="1" applyProtection="1">
      <alignment vertical="center" shrinkToFit="1"/>
      <protection locked="0"/>
    </xf>
    <xf numFmtId="0" fontId="17" fillId="0" borderId="23" xfId="0" applyFont="1" applyFill="1" applyBorder="1" applyAlignment="1" applyProtection="1">
      <alignment vertical="center" shrinkToFit="1"/>
      <protection locked="0"/>
    </xf>
    <xf numFmtId="0" fontId="17" fillId="0" borderId="120" xfId="0" applyFont="1" applyFill="1" applyBorder="1" applyAlignment="1" applyProtection="1">
      <alignment vertical="center" shrinkToFit="1"/>
      <protection locked="0"/>
    </xf>
    <xf numFmtId="0" fontId="23" fillId="0" borderId="178" xfId="0" applyNumberFormat="1" applyFont="1" applyBorder="1" applyAlignment="1">
      <alignment shrinkToFit="1"/>
    </xf>
    <xf numFmtId="0" fontId="23" fillId="0" borderId="200" xfId="0" applyNumberFormat="1" applyFont="1" applyBorder="1" applyAlignment="1">
      <alignment shrinkToFit="1"/>
    </xf>
    <xf numFmtId="0" fontId="23" fillId="0" borderId="142" xfId="0" applyNumberFormat="1" applyFont="1" applyBorder="1" applyAlignment="1">
      <alignment shrinkToFit="1"/>
    </xf>
    <xf numFmtId="0" fontId="23" fillId="0" borderId="31" xfId="0" applyNumberFormat="1" applyFont="1" applyBorder="1" applyAlignment="1">
      <alignment shrinkToFit="1"/>
    </xf>
    <xf numFmtId="0" fontId="23" fillId="0" borderId="176" xfId="0" quotePrefix="1" applyNumberFormat="1" applyFont="1" applyBorder="1" applyAlignment="1">
      <alignment vertical="center" shrinkToFit="1"/>
    </xf>
    <xf numFmtId="0" fontId="23" fillId="0" borderId="98" xfId="0" quotePrefix="1" applyNumberFormat="1" applyFont="1" applyBorder="1" applyAlignment="1">
      <alignment vertical="center" shrinkToFit="1"/>
    </xf>
    <xf numFmtId="183" fontId="23" fillId="0" borderId="141" xfId="0" quotePrefix="1" applyNumberFormat="1" applyFont="1" applyBorder="1" applyAlignment="1">
      <alignment vertical="center" shrinkToFit="1"/>
    </xf>
    <xf numFmtId="183" fontId="23" fillId="0" borderId="99" xfId="0" quotePrefix="1" applyNumberFormat="1" applyFont="1" applyBorder="1" applyAlignment="1">
      <alignment vertical="center" shrinkToFit="1"/>
    </xf>
    <xf numFmtId="183" fontId="23" fillId="0" borderId="142" xfId="0" quotePrefix="1" applyNumberFormat="1" applyFont="1" applyBorder="1" applyAlignment="1">
      <alignment vertical="center" shrinkToFit="1"/>
    </xf>
    <xf numFmtId="183" fontId="23" fillId="0" borderId="31" xfId="0" quotePrefix="1" applyNumberFormat="1" applyFont="1" applyBorder="1" applyAlignment="1">
      <alignment vertical="center" shrinkToFit="1"/>
    </xf>
    <xf numFmtId="183" fontId="23" fillId="0" borderId="87" xfId="0" applyNumberFormat="1" applyFont="1" applyBorder="1" applyAlignment="1">
      <alignment shrinkToFit="1"/>
    </xf>
    <xf numFmtId="183" fontId="23" fillId="0" borderId="100" xfId="0" applyNumberFormat="1" applyFont="1" applyBorder="1" applyAlignment="1">
      <alignment shrinkToFit="1"/>
    </xf>
    <xf numFmtId="0" fontId="23" fillId="0" borderId="169" xfId="0" applyFont="1" applyBorder="1" applyAlignment="1">
      <alignment shrinkToFit="1"/>
    </xf>
    <xf numFmtId="0" fontId="23" fillId="0" borderId="169" xfId="0" applyFont="1" applyBorder="1" applyAlignment="1">
      <alignment horizontal="center" shrinkToFit="1"/>
    </xf>
    <xf numFmtId="0" fontId="23" fillId="0" borderId="122" xfId="0" applyFont="1" applyBorder="1" applyAlignment="1">
      <alignment horizontal="center" shrinkToFit="1"/>
    </xf>
    <xf numFmtId="0" fontId="23" fillId="0" borderId="201" xfId="0" applyFont="1" applyBorder="1" applyAlignment="1">
      <alignment horizontal="center" shrinkToFit="1"/>
    </xf>
    <xf numFmtId="0" fontId="23" fillId="0" borderId="202" xfId="0" applyFont="1" applyBorder="1" applyAlignment="1">
      <alignment horizontal="center" shrinkToFit="1"/>
    </xf>
    <xf numFmtId="0" fontId="23" fillId="0" borderId="99" xfId="0" applyFont="1" applyBorder="1" applyAlignment="1">
      <alignment shrinkToFit="1"/>
    </xf>
    <xf numFmtId="0" fontId="23" fillId="0" borderId="156" xfId="0" applyFont="1" applyBorder="1" applyAlignment="1">
      <alignment shrinkToFit="1"/>
    </xf>
    <xf numFmtId="0" fontId="23" fillId="0" borderId="96" xfId="0" applyFont="1" applyBorder="1" applyAlignment="1">
      <alignment horizontal="center" shrinkToFit="1"/>
    </xf>
    <xf numFmtId="184" fontId="23" fillId="0" borderId="86" xfId="0" applyNumberFormat="1" applyFont="1" applyBorder="1" applyAlignment="1">
      <alignment vertical="center" shrinkToFit="1"/>
    </xf>
    <xf numFmtId="184" fontId="23" fillId="0" borderId="203" xfId="0" applyNumberFormat="1" applyFont="1" applyBorder="1" applyAlignment="1">
      <alignment vertical="center" shrinkToFit="1"/>
    </xf>
    <xf numFmtId="185" fontId="23" fillId="0" borderId="52" xfId="0" applyNumberFormat="1" applyFont="1" applyBorder="1" applyAlignment="1">
      <alignment vertical="center" shrinkToFit="1"/>
    </xf>
    <xf numFmtId="185" fontId="23" fillId="0" borderId="140" xfId="0" applyNumberFormat="1" applyFont="1" applyBorder="1" applyAlignment="1">
      <alignment vertical="center" shrinkToFit="1"/>
    </xf>
    <xf numFmtId="0" fontId="23" fillId="0" borderId="204" xfId="0" applyFont="1" applyBorder="1" applyAlignment="1">
      <alignment vertical="center" shrinkToFit="1"/>
    </xf>
    <xf numFmtId="0" fontId="23" fillId="0" borderId="31" xfId="0" applyFont="1" applyBorder="1" applyAlignment="1">
      <alignment vertical="center" shrinkToFit="1"/>
    </xf>
    <xf numFmtId="185" fontId="23" fillId="0" borderId="86" xfId="0" applyNumberFormat="1" applyFont="1" applyBorder="1" applyAlignment="1">
      <alignment shrinkToFit="1"/>
    </xf>
    <xf numFmtId="185" fontId="23" fillId="0" borderId="205" xfId="0" applyNumberFormat="1" applyFont="1" applyBorder="1" applyAlignment="1">
      <alignment shrinkToFit="1"/>
    </xf>
    <xf numFmtId="185" fontId="23" fillId="0" borderId="93" xfId="0" applyNumberFormat="1" applyFont="1" applyBorder="1" applyAlignment="1">
      <alignment shrinkToFit="1"/>
    </xf>
    <xf numFmtId="0" fontId="23" fillId="0" borderId="100" xfId="0" applyFont="1" applyBorder="1" applyAlignment="1">
      <alignment shrinkToFit="1"/>
    </xf>
    <xf numFmtId="0" fontId="28" fillId="0" borderId="11" xfId="0" applyFont="1" applyBorder="1" applyAlignment="1">
      <alignment horizontal="center" vertical="center" wrapText="1"/>
    </xf>
    <xf numFmtId="0" fontId="28" fillId="0" borderId="206" xfId="0" applyFont="1" applyBorder="1" applyAlignment="1">
      <alignment horizontal="center" vertical="center" wrapText="1"/>
    </xf>
    <xf numFmtId="0" fontId="3" fillId="0" borderId="123" xfId="0" applyFont="1" applyBorder="1" applyAlignment="1">
      <alignment horizontal="center" vertical="center"/>
    </xf>
    <xf numFmtId="0" fontId="3" fillId="0" borderId="206" xfId="0" applyFont="1" applyBorder="1" applyAlignment="1">
      <alignment vertical="center" shrinkToFit="1"/>
    </xf>
    <xf numFmtId="0" fontId="3" fillId="0" borderId="123" xfId="0" applyFont="1" applyBorder="1" applyAlignment="1">
      <alignment vertical="center" shrinkToFit="1"/>
    </xf>
    <xf numFmtId="0" fontId="3" fillId="0" borderId="11" xfId="0" applyFont="1" applyBorder="1" applyAlignment="1">
      <alignment vertical="center"/>
    </xf>
    <xf numFmtId="0" fontId="0" fillId="0" borderId="199" xfId="0" applyBorder="1" applyAlignment="1">
      <alignment horizontal="right" vertical="center" shrinkToFit="1"/>
    </xf>
    <xf numFmtId="0" fontId="17" fillId="0" borderId="0" xfId="0" applyFont="1" applyAlignment="1">
      <alignment vertical="center" shrinkToFit="1"/>
    </xf>
    <xf numFmtId="179" fontId="17" fillId="0" borderId="0" xfId="0" applyNumberFormat="1" applyFont="1" applyAlignment="1">
      <alignment vertical="center" shrinkToFit="1"/>
    </xf>
    <xf numFmtId="179" fontId="17" fillId="0" borderId="26" xfId="0" applyNumberFormat="1" applyFont="1" applyBorder="1" applyAlignment="1">
      <alignment horizontal="center" vertical="center" shrinkToFit="1"/>
    </xf>
    <xf numFmtId="179" fontId="17" fillId="0" borderId="27" xfId="0" applyNumberFormat="1" applyFont="1" applyBorder="1" applyAlignment="1">
      <alignment horizontal="center" vertical="center" shrinkToFit="1"/>
    </xf>
    <xf numFmtId="179" fontId="17" fillId="0" borderId="36" xfId="0" applyNumberFormat="1" applyFont="1" applyBorder="1" applyAlignment="1">
      <alignment horizontal="center" vertical="center" shrinkToFit="1"/>
    </xf>
    <xf numFmtId="179" fontId="17" fillId="0" borderId="58" xfId="0" applyNumberFormat="1" applyFont="1" applyBorder="1" applyAlignment="1">
      <alignment horizontal="center" vertical="center" shrinkToFit="1"/>
    </xf>
    <xf numFmtId="179" fontId="17" fillId="0" borderId="28" xfId="0" applyNumberFormat="1" applyFont="1" applyBorder="1" applyAlignment="1" applyProtection="1">
      <alignment vertical="center" shrinkToFit="1"/>
      <protection locked="0"/>
    </xf>
    <xf numFmtId="179" fontId="17" fillId="0" borderId="29" xfId="0" applyNumberFormat="1" applyFont="1" applyBorder="1" applyAlignment="1">
      <alignment vertical="center" shrinkToFit="1"/>
    </xf>
    <xf numFmtId="179" fontId="17" fillId="0" borderId="22" xfId="0" applyNumberFormat="1" applyFont="1" applyBorder="1" applyAlignment="1" applyProtection="1">
      <alignment vertical="center" shrinkToFit="1"/>
      <protection locked="0"/>
    </xf>
    <xf numFmtId="179" fontId="17" fillId="0" borderId="54" xfId="0" applyNumberFormat="1" applyFont="1" applyBorder="1" applyAlignment="1">
      <alignment vertical="center" shrinkToFit="1"/>
    </xf>
    <xf numFmtId="179" fontId="17" fillId="0" borderId="59" xfId="0" applyNumberFormat="1" applyFont="1" applyBorder="1" applyAlignment="1">
      <alignment vertical="center" shrinkToFit="1"/>
    </xf>
    <xf numFmtId="179" fontId="17" fillId="0" borderId="30" xfId="0" applyNumberFormat="1" applyFont="1" applyBorder="1" applyAlignment="1" applyProtection="1">
      <alignment vertical="center" shrinkToFit="1"/>
      <protection locked="0"/>
    </xf>
    <xf numFmtId="179" fontId="17" fillId="0" borderId="31" xfId="0" applyNumberFormat="1" applyFont="1" applyBorder="1" applyAlignment="1">
      <alignment vertical="center" shrinkToFit="1"/>
    </xf>
    <xf numFmtId="179" fontId="17" fillId="0" borderId="24" xfId="0" applyNumberFormat="1" applyFont="1" applyBorder="1" applyAlignment="1" applyProtection="1">
      <alignment vertical="center" shrinkToFit="1"/>
      <protection locked="0"/>
    </xf>
    <xf numFmtId="179" fontId="17" fillId="0" borderId="55" xfId="0" applyNumberFormat="1" applyFont="1" applyBorder="1" applyAlignment="1">
      <alignment vertical="center" shrinkToFit="1"/>
    </xf>
    <xf numFmtId="179" fontId="17" fillId="0" borderId="60" xfId="0" applyNumberFormat="1" applyFont="1" applyBorder="1" applyAlignment="1">
      <alignment vertical="center" shrinkToFit="1"/>
    </xf>
    <xf numFmtId="179" fontId="17" fillId="0" borderId="32" xfId="0" applyNumberFormat="1" applyFont="1" applyBorder="1" applyAlignment="1" applyProtection="1">
      <alignment vertical="center" shrinkToFit="1"/>
      <protection locked="0"/>
    </xf>
    <xf numFmtId="179" fontId="17" fillId="0" borderId="33" xfId="0" applyNumberFormat="1" applyFont="1" applyBorder="1" applyAlignment="1">
      <alignment vertical="center" shrinkToFit="1"/>
    </xf>
    <xf numFmtId="179" fontId="17" fillId="0" borderId="25" xfId="0" applyNumberFormat="1" applyFont="1" applyBorder="1" applyAlignment="1" applyProtection="1">
      <alignment vertical="center" shrinkToFit="1"/>
      <protection locked="0"/>
    </xf>
    <xf numFmtId="179" fontId="17" fillId="0" borderId="56" xfId="0" applyNumberFormat="1" applyFont="1" applyBorder="1" applyAlignment="1">
      <alignment vertical="center" shrinkToFit="1"/>
    </xf>
    <xf numFmtId="179" fontId="17" fillId="0" borderId="61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vertical="center" shrinkToFit="1"/>
    </xf>
    <xf numFmtId="179" fontId="17" fillId="0" borderId="35" xfId="0" applyNumberFormat="1" applyFont="1" applyBorder="1" applyAlignment="1">
      <alignment vertical="center" shrinkToFit="1"/>
    </xf>
    <xf numFmtId="179" fontId="17" fillId="0" borderId="37" xfId="0" applyNumberFormat="1" applyFont="1" applyBorder="1" applyAlignment="1">
      <alignment vertical="center" shrinkToFit="1"/>
    </xf>
    <xf numFmtId="179" fontId="17" fillId="0" borderId="57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horizontal="right" vertical="center" shrinkToFit="1"/>
    </xf>
    <xf numFmtId="179" fontId="17" fillId="0" borderId="62" xfId="0" applyNumberFormat="1" applyFont="1" applyBorder="1" applyAlignment="1">
      <alignment vertical="center" shrinkToFit="1"/>
    </xf>
    <xf numFmtId="0" fontId="24" fillId="0" borderId="0" xfId="0" applyFont="1" applyBorder="1" applyAlignment="1" applyProtection="1">
      <alignment vertical="center" wrapText="1"/>
    </xf>
    <xf numFmtId="0" fontId="24" fillId="0" borderId="207" xfId="0" applyFont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0" fontId="26" fillId="17" borderId="12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177" fontId="5" fillId="5" borderId="0" xfId="0" applyNumberFormat="1" applyFont="1" applyFill="1" applyBorder="1" applyAlignment="1" applyProtection="1">
      <alignment vertical="center" shrinkToFit="1"/>
    </xf>
    <xf numFmtId="0" fontId="40" fillId="16" borderId="211" xfId="0" applyFont="1" applyFill="1" applyBorder="1" applyAlignment="1" applyProtection="1">
      <alignment horizontal="center" vertical="center" wrapText="1"/>
    </xf>
    <xf numFmtId="0" fontId="40" fillId="16" borderId="212" xfId="0" applyFont="1" applyFill="1" applyBorder="1" applyAlignment="1" applyProtection="1">
      <alignment horizontal="center" vertical="center" shrinkToFit="1"/>
    </xf>
    <xf numFmtId="0" fontId="40" fillId="16" borderId="213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13" fillId="18" borderId="214" xfId="0" applyFont="1" applyFill="1" applyBorder="1" applyAlignment="1" applyProtection="1">
      <alignment horizontal="center" vertical="center" wrapText="1"/>
    </xf>
    <xf numFmtId="0" fontId="13" fillId="18" borderId="38" xfId="0" applyFont="1" applyFill="1" applyBorder="1" applyAlignment="1" applyProtection="1">
      <alignment horizontal="center" vertical="center" wrapText="1"/>
    </xf>
    <xf numFmtId="0" fontId="3" fillId="18" borderId="38" xfId="0" applyFont="1" applyFill="1" applyBorder="1" applyAlignment="1">
      <alignment horizontal="center" vertical="center" shrinkToFit="1"/>
    </xf>
    <xf numFmtId="177" fontId="13" fillId="18" borderId="65" xfId="0" applyNumberFormat="1" applyFont="1" applyFill="1" applyBorder="1" applyAlignment="1" applyProtection="1">
      <alignment horizontal="center" vertical="center" shrinkToFit="1"/>
    </xf>
    <xf numFmtId="0" fontId="3" fillId="0" borderId="215" xfId="0" applyFont="1" applyBorder="1" applyAlignment="1">
      <alignment vertical="center"/>
    </xf>
    <xf numFmtId="178" fontId="4" fillId="0" borderId="73" xfId="0" applyNumberFormat="1" applyFont="1" applyBorder="1" applyAlignment="1" applyProtection="1">
      <alignment vertical="center" shrinkToFit="1"/>
      <protection locked="0"/>
    </xf>
    <xf numFmtId="189" fontId="3" fillId="0" borderId="73" xfId="0" applyNumberFormat="1" applyFont="1" applyBorder="1" applyAlignment="1">
      <alignment horizontal="center" vertical="center" shrinkToFit="1"/>
    </xf>
    <xf numFmtId="49" fontId="41" fillId="20" borderId="0" xfId="0" applyNumberFormat="1" applyFont="1" applyFill="1" applyAlignment="1">
      <alignment vertical="center"/>
    </xf>
    <xf numFmtId="0" fontId="41" fillId="20" borderId="0" xfId="0" applyFont="1" applyFill="1" applyAlignment="1">
      <alignment vertical="center"/>
    </xf>
    <xf numFmtId="0" fontId="13" fillId="0" borderId="216" xfId="0" applyFont="1" applyBorder="1" applyAlignment="1" applyProtection="1">
      <alignment vertical="center" shrinkToFit="1"/>
      <protection locked="0"/>
    </xf>
    <xf numFmtId="178" fontId="4" fillId="0" borderId="76" xfId="0" applyNumberFormat="1" applyFont="1" applyBorder="1" applyAlignment="1" applyProtection="1">
      <alignment vertical="center" shrinkToFit="1"/>
      <protection locked="0"/>
    </xf>
    <xf numFmtId="189" fontId="3" fillId="0" borderId="76" xfId="0" applyNumberFormat="1" applyFont="1" applyBorder="1" applyAlignment="1">
      <alignment horizontal="center" vertical="center" shrinkToFit="1"/>
    </xf>
    <xf numFmtId="0" fontId="0" fillId="0" borderId="218" xfId="0" applyBorder="1" applyAlignment="1">
      <alignment vertical="center" shrinkToFit="1"/>
    </xf>
    <xf numFmtId="0" fontId="3" fillId="0" borderId="219" xfId="0" applyFont="1" applyBorder="1" applyAlignment="1" applyProtection="1">
      <alignment vertical="center"/>
      <protection locked="0"/>
    </xf>
    <xf numFmtId="0" fontId="28" fillId="0" borderId="220" xfId="0" applyFont="1" applyBorder="1" applyAlignment="1" applyProtection="1">
      <alignment horizontal="center" vertical="center" wrapText="1"/>
      <protection locked="0"/>
    </xf>
    <xf numFmtId="0" fontId="3" fillId="0" borderId="221" xfId="0" applyFont="1" applyBorder="1" applyAlignment="1" applyProtection="1">
      <alignment vertical="center"/>
      <protection locked="0"/>
    </xf>
    <xf numFmtId="0" fontId="3" fillId="0" borderId="218" xfId="0" applyFont="1" applyBorder="1" applyAlignment="1" applyProtection="1">
      <alignment vertical="center"/>
      <protection locked="0"/>
    </xf>
    <xf numFmtId="0" fontId="3" fillId="0" borderId="221" xfId="0" applyFont="1" applyBorder="1" applyAlignment="1">
      <alignment vertical="center"/>
    </xf>
    <xf numFmtId="0" fontId="3" fillId="0" borderId="222" xfId="0" applyFont="1" applyBorder="1" applyAlignment="1">
      <alignment vertical="center"/>
    </xf>
    <xf numFmtId="0" fontId="0" fillId="0" borderId="223" xfId="0" applyBorder="1"/>
    <xf numFmtId="0" fontId="13" fillId="20" borderId="0" xfId="0" applyFont="1" applyFill="1" applyBorder="1" applyAlignment="1">
      <alignment horizontal="right"/>
    </xf>
    <xf numFmtId="0" fontId="13" fillId="20" borderId="0" xfId="0" applyFont="1" applyFill="1" applyBorder="1" applyAlignment="1">
      <alignment horizontal="center"/>
    </xf>
    <xf numFmtId="0" fontId="11" fillId="20" borderId="0" xfId="0" applyFont="1" applyFill="1" applyBorder="1" applyAlignment="1">
      <alignment horizontal="left"/>
    </xf>
    <xf numFmtId="0" fontId="11" fillId="2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20" borderId="0" xfId="0" applyFont="1" applyFill="1" applyBorder="1" applyAlignment="1"/>
    <xf numFmtId="0" fontId="13" fillId="16" borderId="0" xfId="0" applyFont="1" applyFill="1" applyBorder="1" applyAlignment="1">
      <alignment horizontal="center" shrinkToFit="1"/>
    </xf>
    <xf numFmtId="0" fontId="13" fillId="20" borderId="151" xfId="0" applyFont="1" applyFill="1" applyBorder="1" applyAlignment="1">
      <alignment horizontal="center"/>
    </xf>
    <xf numFmtId="0" fontId="3" fillId="20" borderId="151" xfId="0" applyFont="1" applyFill="1" applyBorder="1" applyAlignment="1">
      <alignment horizontal="right"/>
    </xf>
    <xf numFmtId="0" fontId="13" fillId="21" borderId="152" xfId="0" applyFont="1" applyFill="1" applyBorder="1" applyAlignment="1">
      <alignment horizontal="center" shrinkToFit="1"/>
    </xf>
    <xf numFmtId="0" fontId="3" fillId="20" borderId="226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 vertical="center"/>
    </xf>
    <xf numFmtId="0" fontId="3" fillId="20" borderId="227" xfId="0" applyFont="1" applyFill="1" applyBorder="1" applyAlignment="1"/>
    <xf numFmtId="0" fontId="44" fillId="20" borderId="227" xfId="0" applyFont="1" applyFill="1" applyBorder="1" applyAlignment="1"/>
    <xf numFmtId="0" fontId="3" fillId="20" borderId="151" xfId="0" applyFont="1" applyFill="1" applyBorder="1" applyAlignment="1">
      <alignment horizontal="center"/>
    </xf>
    <xf numFmtId="38" fontId="3" fillId="20" borderId="151" xfId="0" applyNumberFormat="1" applyFont="1" applyFill="1" applyBorder="1" applyAlignment="1">
      <alignment horizontal="right"/>
    </xf>
    <xf numFmtId="38" fontId="3" fillId="16" borderId="152" xfId="0" applyNumberFormat="1" applyFont="1" applyFill="1" applyBorder="1" applyAlignment="1">
      <alignment horizontal="right" shrinkToFit="1"/>
    </xf>
    <xf numFmtId="0" fontId="45" fillId="20" borderId="0" xfId="0" applyFont="1" applyFill="1" applyBorder="1" applyAlignment="1"/>
    <xf numFmtId="0" fontId="3" fillId="20" borderId="0" xfId="0" applyFont="1" applyFill="1" applyBorder="1" applyAlignment="1">
      <alignment horizontal="left" vertical="center"/>
    </xf>
    <xf numFmtId="0" fontId="3" fillId="20" borderId="156" xfId="0" applyFont="1" applyFill="1" applyBorder="1" applyAlignment="1"/>
    <xf numFmtId="0" fontId="44" fillId="20" borderId="156" xfId="0" applyFont="1" applyFill="1" applyBorder="1" applyAlignment="1"/>
    <xf numFmtId="0" fontId="3" fillId="20" borderId="95" xfId="0" applyFont="1" applyFill="1" applyBorder="1" applyAlignment="1">
      <alignment horizontal="right"/>
    </xf>
    <xf numFmtId="38" fontId="3" fillId="20" borderId="95" xfId="0" applyNumberFormat="1" applyFont="1" applyFill="1" applyBorder="1" applyAlignment="1">
      <alignment horizontal="right"/>
    </xf>
    <xf numFmtId="38" fontId="3" fillId="0" borderId="99" xfId="0" applyNumberFormat="1" applyFont="1" applyFill="1" applyBorder="1" applyAlignment="1">
      <alignment horizontal="right" shrinkToFit="1"/>
    </xf>
    <xf numFmtId="0" fontId="3" fillId="0" borderId="228" xfId="0" applyFont="1" applyFill="1" applyBorder="1" applyAlignment="1"/>
    <xf numFmtId="0" fontId="44" fillId="0" borderId="228" xfId="0" applyFont="1" applyFill="1" applyBorder="1" applyAlignment="1"/>
    <xf numFmtId="0" fontId="3" fillId="0" borderId="121" xfId="0" applyFont="1" applyFill="1" applyBorder="1" applyAlignment="1">
      <alignment horizontal="right"/>
    </xf>
    <xf numFmtId="38" fontId="3" fillId="0" borderId="95" xfId="0" applyNumberFormat="1" applyFont="1" applyFill="1" applyBorder="1" applyAlignment="1">
      <alignment horizontal="right"/>
    </xf>
    <xf numFmtId="38" fontId="3" fillId="0" borderId="204" xfId="1" applyFont="1" applyFill="1" applyBorder="1" applyAlignment="1">
      <alignment horizontal="right"/>
    </xf>
    <xf numFmtId="0" fontId="3" fillId="20" borderId="203" xfId="0" applyFont="1" applyFill="1" applyBorder="1" applyAlignment="1"/>
    <xf numFmtId="0" fontId="44" fillId="20" borderId="203" xfId="0" applyFont="1" applyFill="1" applyBorder="1" applyAlignment="1"/>
    <xf numFmtId="0" fontId="3" fillId="0" borderId="85" xfId="0" applyFont="1" applyFill="1" applyBorder="1" applyAlignment="1">
      <alignment horizontal="right"/>
    </xf>
    <xf numFmtId="38" fontId="3" fillId="0" borderId="89" xfId="0" applyNumberFormat="1" applyFont="1" applyFill="1" applyBorder="1" applyAlignment="1">
      <alignment horizontal="right"/>
    </xf>
    <xf numFmtId="38" fontId="3" fillId="0" borderId="98" xfId="1" applyFont="1" applyFill="1" applyBorder="1" applyAlignment="1">
      <alignment horizontal="right"/>
    </xf>
    <xf numFmtId="0" fontId="3" fillId="20" borderId="229" xfId="0" applyFont="1" applyFill="1" applyBorder="1" applyAlignment="1">
      <alignment horizontal="right" vertical="center" textRotation="255"/>
    </xf>
    <xf numFmtId="0" fontId="3" fillId="0" borderId="82" xfId="0" applyFont="1" applyFill="1" applyBorder="1" applyAlignment="1">
      <alignment horizontal="right"/>
    </xf>
    <xf numFmtId="0" fontId="0" fillId="0" borderId="228" xfId="0" applyBorder="1" applyAlignment="1">
      <alignment horizontal="right" vertical="center" textRotation="255"/>
    </xf>
    <xf numFmtId="0" fontId="3" fillId="0" borderId="23" xfId="0" applyFont="1" applyFill="1" applyBorder="1" applyAlignment="1">
      <alignment horizontal="right"/>
    </xf>
    <xf numFmtId="0" fontId="3" fillId="0" borderId="86" xfId="0" applyFont="1" applyFill="1" applyBorder="1" applyAlignment="1">
      <alignment horizontal="right"/>
    </xf>
    <xf numFmtId="0" fontId="3" fillId="20" borderId="228" xfId="0" applyFont="1" applyFill="1" applyBorder="1" applyAlignment="1">
      <alignment horizontal="right" vertical="center" textRotation="255"/>
    </xf>
    <xf numFmtId="38" fontId="3" fillId="0" borderId="82" xfId="0" applyNumberFormat="1" applyFont="1" applyFill="1" applyBorder="1" applyAlignment="1">
      <alignment horizontal="right"/>
    </xf>
    <xf numFmtId="38" fontId="3" fillId="0" borderId="200" xfId="0" applyNumberFormat="1" applyFont="1" applyFill="1" applyBorder="1" applyAlignment="1">
      <alignment horizontal="right" shrinkToFit="1"/>
    </xf>
    <xf numFmtId="38" fontId="3" fillId="0" borderId="23" xfId="0" applyNumberFormat="1" applyFont="1" applyFill="1" applyBorder="1" applyAlignment="1">
      <alignment horizontal="right"/>
    </xf>
    <xf numFmtId="38" fontId="3" fillId="0" borderId="122" xfId="1" applyFont="1" applyFill="1" applyBorder="1" applyAlignment="1">
      <alignment horizontal="right"/>
    </xf>
    <xf numFmtId="0" fontId="0" fillId="0" borderId="205" xfId="0" applyBorder="1" applyAlignment="1">
      <alignment horizontal="right" vertical="center" textRotation="255"/>
    </xf>
    <xf numFmtId="0" fontId="3" fillId="0" borderId="86" xfId="0" applyFont="1" applyFill="1" applyBorder="1" applyAlignment="1">
      <alignment horizontal="right" shrinkToFit="1"/>
    </xf>
    <xf numFmtId="38" fontId="3" fillId="0" borderId="85" xfId="0" applyNumberFormat="1" applyFont="1" applyFill="1" applyBorder="1" applyAlignment="1">
      <alignment horizontal="right"/>
    </xf>
    <xf numFmtId="0" fontId="3" fillId="20" borderId="0" xfId="0" applyFont="1" applyFill="1" applyBorder="1" applyAlignment="1">
      <alignment horizontal="distributed" vertical="center"/>
    </xf>
    <xf numFmtId="38" fontId="3" fillId="0" borderId="152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/>
    <xf numFmtId="0" fontId="44" fillId="20" borderId="140" xfId="0" applyFont="1" applyFill="1" applyBorder="1" applyAlignment="1"/>
    <xf numFmtId="0" fontId="3" fillId="20" borderId="23" xfId="0" applyFont="1" applyFill="1" applyBorder="1" applyAlignment="1">
      <alignment horizontal="right"/>
    </xf>
    <xf numFmtId="38" fontId="3" fillId="20" borderId="23" xfId="0" applyNumberFormat="1" applyFont="1" applyFill="1" applyBorder="1" applyAlignment="1">
      <alignment horizontal="right"/>
    </xf>
    <xf numFmtId="0" fontId="3" fillId="20" borderId="85" xfId="0" applyFont="1" applyFill="1" applyBorder="1" applyAlignment="1">
      <alignment horizontal="right"/>
    </xf>
    <xf numFmtId="38" fontId="3" fillId="20" borderId="85" xfId="0" applyNumberFormat="1" applyFont="1" applyFill="1" applyBorder="1" applyAlignment="1">
      <alignment horizontal="right"/>
    </xf>
    <xf numFmtId="38" fontId="3" fillId="16" borderId="98" xfId="0" applyNumberFormat="1" applyFont="1" applyFill="1" applyBorder="1" applyAlignment="1">
      <alignment horizontal="right" shrinkToFit="1"/>
    </xf>
    <xf numFmtId="0" fontId="46" fillId="20" borderId="0" xfId="0" applyFont="1" applyFill="1" applyBorder="1" applyAlignment="1"/>
    <xf numFmtId="0" fontId="46" fillId="20" borderId="230" xfId="0" applyFont="1" applyFill="1" applyBorder="1" applyAlignment="1">
      <alignment horizontal="right"/>
    </xf>
    <xf numFmtId="0" fontId="46" fillId="20" borderId="87" xfId="0" applyFont="1" applyFill="1" applyBorder="1" applyAlignment="1">
      <alignment horizontal="right"/>
    </xf>
    <xf numFmtId="0" fontId="3" fillId="20" borderId="87" xfId="0" applyFont="1" applyFill="1" applyBorder="1" applyAlignment="1">
      <alignment horizontal="left" vertical="center"/>
    </xf>
    <xf numFmtId="0" fontId="3" fillId="20" borderId="87" xfId="0" applyFont="1" applyFill="1" applyBorder="1" applyAlignment="1">
      <alignment horizontal="left"/>
    </xf>
    <xf numFmtId="0" fontId="46" fillId="20" borderId="151" xfId="0" applyFont="1" applyFill="1" applyBorder="1" applyAlignment="1">
      <alignment horizontal="right"/>
    </xf>
    <xf numFmtId="0" fontId="3" fillId="20" borderId="89" xfId="0" applyFont="1" applyFill="1" applyBorder="1" applyAlignment="1">
      <alignment horizontal="center"/>
    </xf>
    <xf numFmtId="38" fontId="3" fillId="20" borderId="89" xfId="0" applyNumberFormat="1" applyFont="1" applyFill="1" applyBorder="1" applyAlignment="1">
      <alignment horizontal="right" shrinkToFit="1"/>
    </xf>
    <xf numFmtId="38" fontId="3" fillId="20" borderId="100" xfId="0" applyNumberFormat="1" applyFont="1" applyFill="1" applyBorder="1" applyAlignment="1">
      <alignment horizontal="right" shrinkToFit="1"/>
    </xf>
    <xf numFmtId="0" fontId="46" fillId="20" borderId="15" xfId="0" applyFont="1" applyFill="1" applyBorder="1" applyAlignment="1">
      <alignment horizontal="right"/>
    </xf>
    <xf numFmtId="0" fontId="44" fillId="20" borderId="224" xfId="0" applyFont="1" applyFill="1" applyBorder="1" applyAlignment="1">
      <alignment horizontal="left"/>
    </xf>
    <xf numFmtId="0" fontId="46" fillId="20" borderId="225" xfId="0" applyFont="1" applyFill="1" applyBorder="1" applyAlignment="1">
      <alignment horizontal="right"/>
    </xf>
    <xf numFmtId="0" fontId="45" fillId="20" borderId="225" xfId="0" applyFont="1" applyFill="1" applyBorder="1" applyAlignment="1">
      <alignment horizontal="distributed"/>
    </xf>
    <xf numFmtId="0" fontId="3" fillId="20" borderId="231" xfId="0" applyFont="1" applyFill="1" applyBorder="1" applyAlignment="1">
      <alignment horizontal="center"/>
    </xf>
    <xf numFmtId="0" fontId="3" fillId="0" borderId="231" xfId="0" applyFont="1" applyFill="1" applyBorder="1" applyAlignment="1">
      <alignment horizontal="right"/>
    </xf>
    <xf numFmtId="38" fontId="3" fillId="0" borderId="232" xfId="0" applyNumberFormat="1" applyFont="1" applyFill="1" applyBorder="1" applyAlignment="1">
      <alignment horizontal="center" shrinkToFit="1"/>
    </xf>
    <xf numFmtId="0" fontId="44" fillId="20" borderId="230" xfId="0" applyFont="1" applyFill="1" applyBorder="1" applyAlignment="1">
      <alignment horizontal="left" vertical="center"/>
    </xf>
    <xf numFmtId="0" fontId="0" fillId="20" borderId="89" xfId="0" applyFont="1" applyFill="1" applyBorder="1" applyAlignment="1">
      <alignment horizontal="center"/>
    </xf>
    <xf numFmtId="0" fontId="3" fillId="20" borderId="89" xfId="0" applyFont="1" applyFill="1" applyBorder="1" applyAlignment="1">
      <alignment horizontal="right"/>
    </xf>
    <xf numFmtId="38" fontId="3" fillId="21" borderId="100" xfId="0" applyNumberFormat="1" applyFont="1" applyFill="1" applyBorder="1" applyAlignment="1">
      <alignment horizontal="center" shrinkToFit="1"/>
    </xf>
    <xf numFmtId="0" fontId="3" fillId="20" borderId="0" xfId="0" applyFont="1" applyFill="1" applyBorder="1" applyAlignment="1">
      <alignment horizontal="left"/>
    </xf>
    <xf numFmtId="49" fontId="3" fillId="20" borderId="141" xfId="0" applyNumberFormat="1" applyFont="1" applyFill="1" applyBorder="1" applyAlignment="1">
      <alignment horizontal="right"/>
    </xf>
    <xf numFmtId="0" fontId="3" fillId="20" borderId="233" xfId="0" applyFont="1" applyFill="1" applyBorder="1" applyAlignment="1">
      <alignment horizontal="left"/>
    </xf>
    <xf numFmtId="0" fontId="3" fillId="20" borderId="233" xfId="0" applyFont="1" applyFill="1" applyBorder="1" applyAlignment="1">
      <alignment horizontal="center"/>
    </xf>
    <xf numFmtId="0" fontId="3" fillId="20" borderId="82" xfId="0" applyFont="1" applyFill="1" applyBorder="1" applyAlignment="1">
      <alignment horizontal="left" shrinkToFit="1"/>
    </xf>
    <xf numFmtId="38" fontId="13" fillId="20" borderId="82" xfId="0" applyNumberFormat="1" applyFont="1" applyFill="1" applyBorder="1" applyAlignment="1">
      <alignment horizontal="right"/>
    </xf>
    <xf numFmtId="49" fontId="3" fillId="20" borderId="142" xfId="0" applyNumberFormat="1" applyFont="1" applyFill="1" applyBorder="1" applyAlignment="1">
      <alignment horizontal="right"/>
    </xf>
    <xf numFmtId="0" fontId="3" fillId="20" borderId="140" xfId="0" applyFont="1" applyFill="1" applyBorder="1" applyAlignment="1">
      <alignment horizontal="left"/>
    </xf>
    <xf numFmtId="0" fontId="3" fillId="20" borderId="140" xfId="0" applyFont="1" applyFill="1" applyBorder="1" applyAlignment="1">
      <alignment horizontal="center"/>
    </xf>
    <xf numFmtId="0" fontId="3" fillId="20" borderId="23" xfId="0" applyFont="1" applyFill="1" applyBorder="1" applyAlignment="1">
      <alignment horizontal="left" shrinkToFit="1"/>
    </xf>
    <xf numFmtId="38" fontId="13" fillId="20" borderId="23" xfId="0" applyNumberFormat="1" applyFont="1" applyFill="1" applyBorder="1" applyAlignment="1">
      <alignment horizontal="right"/>
    </xf>
    <xf numFmtId="38" fontId="3" fillId="22" borderId="31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>
      <alignment horizontal="right"/>
    </xf>
    <xf numFmtId="0" fontId="3" fillId="0" borderId="23" xfId="0" applyFont="1" applyFill="1" applyBorder="1" applyAlignment="1">
      <alignment horizontal="left" shrinkToFit="1"/>
    </xf>
    <xf numFmtId="38" fontId="13" fillId="0" borderId="23" xfId="0" applyNumberFormat="1" applyFont="1" applyFill="1" applyBorder="1" applyAlignment="1">
      <alignment horizontal="right"/>
    </xf>
    <xf numFmtId="38" fontId="3" fillId="0" borderId="31" xfId="0" applyNumberFormat="1" applyFont="1" applyFill="1" applyBorder="1" applyAlignment="1">
      <alignment horizontal="right" shrinkToFit="1"/>
    </xf>
    <xf numFmtId="0" fontId="3" fillId="20" borderId="140" xfId="0" applyFont="1" applyFill="1" applyBorder="1" applyAlignment="1">
      <alignment horizontal="center" shrinkToFit="1"/>
    </xf>
    <xf numFmtId="49" fontId="3" fillId="22" borderId="141" xfId="0" applyNumberFormat="1" applyFont="1" applyFill="1" applyBorder="1" applyAlignment="1">
      <alignment horizontal="right"/>
    </xf>
    <xf numFmtId="0" fontId="3" fillId="22" borderId="140" xfId="0" applyFont="1" applyFill="1" applyBorder="1" applyAlignment="1">
      <alignment horizontal="left"/>
    </xf>
    <xf numFmtId="0" fontId="3" fillId="22" borderId="140" xfId="0" applyFont="1" applyFill="1" applyBorder="1" applyAlignment="1">
      <alignment horizontal="center" shrinkToFit="1"/>
    </xf>
    <xf numFmtId="0" fontId="3" fillId="22" borderId="23" xfId="0" applyFont="1" applyFill="1" applyBorder="1" applyAlignment="1">
      <alignment horizontal="left" shrinkToFit="1"/>
    </xf>
    <xf numFmtId="38" fontId="13" fillId="22" borderId="23" xfId="0" applyNumberFormat="1" applyFont="1" applyFill="1" applyBorder="1" applyAlignment="1">
      <alignment horizontal="right"/>
    </xf>
    <xf numFmtId="0" fontId="3" fillId="20" borderId="14" xfId="0" applyFont="1" applyFill="1" applyBorder="1" applyAlignment="1">
      <alignment horizontal="right"/>
    </xf>
    <xf numFmtId="0" fontId="3" fillId="20" borderId="15" xfId="0" applyFont="1" applyFill="1" applyBorder="1" applyAlignment="1">
      <alignment horizontal="left"/>
    </xf>
    <xf numFmtId="0" fontId="3" fillId="20" borderId="151" xfId="0" applyFont="1" applyFill="1" applyBorder="1" applyAlignment="1">
      <alignment horizontal="left"/>
    </xf>
    <xf numFmtId="0" fontId="44" fillId="20" borderId="151" xfId="0" applyFont="1" applyFill="1" applyBorder="1" applyAlignment="1">
      <alignment horizontal="right"/>
    </xf>
    <xf numFmtId="38" fontId="13" fillId="20" borderId="151" xfId="0" applyNumberFormat="1" applyFont="1" applyFill="1" applyBorder="1" applyAlignment="1">
      <alignment horizontal="right"/>
    </xf>
    <xf numFmtId="38" fontId="3" fillId="20" borderId="152" xfId="0" applyNumberFormat="1" applyFont="1" applyFill="1" applyBorder="1" applyAlignment="1">
      <alignment horizontal="right" shrinkToFit="1"/>
    </xf>
    <xf numFmtId="38" fontId="3" fillId="0" borderId="100" xfId="0" applyNumberFormat="1" applyFont="1" applyFill="1" applyBorder="1" applyAlignment="1">
      <alignment horizontal="center" shrinkToFit="1"/>
    </xf>
    <xf numFmtId="49" fontId="3" fillId="20" borderId="139" xfId="0" applyNumberFormat="1" applyFont="1" applyFill="1" applyBorder="1" applyAlignment="1">
      <alignment horizontal="right"/>
    </xf>
    <xf numFmtId="0" fontId="3" fillId="20" borderId="201" xfId="0" applyFont="1" applyFill="1" applyBorder="1" applyAlignment="1">
      <alignment horizontal="left"/>
    </xf>
    <xf numFmtId="0" fontId="3" fillId="20" borderId="201" xfId="0" applyFont="1" applyFill="1" applyBorder="1" applyAlignment="1">
      <alignment horizontal="center"/>
    </xf>
    <xf numFmtId="0" fontId="3" fillId="20" borderId="120" xfId="0" applyFont="1" applyFill="1" applyBorder="1" applyAlignment="1">
      <alignment horizontal="left" shrinkToFit="1"/>
    </xf>
    <xf numFmtId="38" fontId="13" fillId="20" borderId="120" xfId="0" applyNumberFormat="1" applyFont="1" applyFill="1" applyBorder="1" applyAlignment="1">
      <alignment horizontal="right"/>
    </xf>
    <xf numFmtId="38" fontId="3" fillId="22" borderId="122" xfId="0" applyNumberFormat="1" applyFont="1" applyFill="1" applyBorder="1" applyAlignment="1">
      <alignment horizontal="right" shrinkToFit="1"/>
    </xf>
    <xf numFmtId="0" fontId="3" fillId="20" borderId="225" xfId="0" applyFont="1" applyFill="1" applyBorder="1" applyAlignment="1">
      <alignment horizontal="right"/>
    </xf>
    <xf numFmtId="0" fontId="3" fillId="20" borderId="229" xfId="0" applyFont="1" applyFill="1" applyBorder="1" applyAlignment="1">
      <alignment horizontal="left"/>
    </xf>
    <xf numFmtId="0" fontId="3" fillId="20" borderId="229" xfId="0" applyFont="1" applyFill="1" applyBorder="1" applyAlignment="1">
      <alignment horizontal="center"/>
    </xf>
    <xf numFmtId="0" fontId="3" fillId="20" borderId="231" xfId="0" applyFont="1" applyFill="1" applyBorder="1" applyAlignment="1">
      <alignment horizontal="left" shrinkToFit="1"/>
    </xf>
    <xf numFmtId="38" fontId="13" fillId="20" borderId="231" xfId="0" applyNumberFormat="1" applyFont="1" applyFill="1" applyBorder="1" applyAlignment="1">
      <alignment horizontal="right"/>
    </xf>
    <xf numFmtId="38" fontId="3" fillId="20" borderId="232" xfId="0" applyNumberFormat="1" applyFont="1" applyFill="1" applyBorder="1" applyAlignment="1">
      <alignment horizontal="center" shrinkToFit="1"/>
    </xf>
    <xf numFmtId="0" fontId="3" fillId="20" borderId="87" xfId="0" applyFont="1" applyFill="1" applyBorder="1" applyAlignment="1">
      <alignment horizontal="right"/>
    </xf>
    <xf numFmtId="0" fontId="3" fillId="20" borderId="205" xfId="0" applyFont="1" applyFill="1" applyBorder="1" applyAlignment="1">
      <alignment horizontal="left"/>
    </xf>
    <xf numFmtId="0" fontId="3" fillId="20" borderId="205" xfId="0" applyFont="1" applyFill="1" applyBorder="1" applyAlignment="1">
      <alignment horizontal="center"/>
    </xf>
    <xf numFmtId="0" fontId="3" fillId="20" borderId="89" xfId="0" applyFont="1" applyFill="1" applyBorder="1" applyAlignment="1">
      <alignment horizontal="left" shrinkToFit="1"/>
    </xf>
    <xf numFmtId="38" fontId="3" fillId="21" borderId="100" xfId="0" applyNumberFormat="1" applyFont="1" applyFill="1" applyBorder="1" applyAlignment="1">
      <alignment horizontal="right" shrinkToFit="1"/>
    </xf>
    <xf numFmtId="0" fontId="3" fillId="20" borderId="156" xfId="0" applyFont="1" applyFill="1" applyBorder="1" applyAlignment="1">
      <alignment horizontal="left"/>
    </xf>
    <xf numFmtId="0" fontId="3" fillId="20" borderId="156" xfId="0" applyFont="1" applyFill="1" applyBorder="1" applyAlignment="1">
      <alignment horizontal="center"/>
    </xf>
    <xf numFmtId="0" fontId="3" fillId="20" borderId="95" xfId="0" applyFont="1" applyFill="1" applyBorder="1" applyAlignment="1">
      <alignment horizontal="left" shrinkToFit="1"/>
    </xf>
    <xf numFmtId="38" fontId="13" fillId="0" borderId="95" xfId="0" applyNumberFormat="1" applyFont="1" applyFill="1" applyBorder="1" applyAlignment="1">
      <alignment horizontal="right"/>
    </xf>
    <xf numFmtId="0" fontId="44" fillId="20" borderId="0" xfId="0" applyFont="1" applyFill="1" applyBorder="1" applyAlignment="1">
      <alignment horizontal="right"/>
    </xf>
    <xf numFmtId="38" fontId="13" fillId="20" borderId="0" xfId="0" applyNumberFormat="1" applyFont="1" applyFill="1" applyBorder="1" applyAlignment="1">
      <alignment horizontal="right"/>
    </xf>
    <xf numFmtId="38" fontId="3" fillId="20" borderId="234" xfId="0" applyNumberFormat="1" applyFont="1" applyFill="1" applyBorder="1" applyAlignment="1">
      <alignment horizontal="right" shrinkToFit="1"/>
    </xf>
    <xf numFmtId="0" fontId="44" fillId="20" borderId="87" xfId="0" applyFont="1" applyFill="1" applyBorder="1" applyAlignment="1">
      <alignment horizontal="right"/>
    </xf>
    <xf numFmtId="38" fontId="13" fillId="20" borderId="87" xfId="0" applyNumberFormat="1" applyFont="1" applyFill="1" applyBorder="1" applyAlignment="1">
      <alignment horizontal="right"/>
    </xf>
    <xf numFmtId="38" fontId="3" fillId="20" borderId="235" xfId="0" applyNumberFormat="1" applyFont="1" applyFill="1" applyBorder="1" applyAlignment="1">
      <alignment horizontal="right" shrinkToFit="1"/>
    </xf>
    <xf numFmtId="0" fontId="44" fillId="20" borderId="224" xfId="0" applyFont="1" applyFill="1" applyBorder="1" applyAlignment="1">
      <alignment horizontal="left" vertical="center"/>
    </xf>
    <xf numFmtId="0" fontId="3" fillId="20" borderId="141" xfId="0" applyFont="1" applyFill="1" applyBorder="1" applyAlignment="1"/>
    <xf numFmtId="0" fontId="3" fillId="20" borderId="82" xfId="0" applyFont="1" applyFill="1" applyBorder="1" applyAlignment="1">
      <alignment horizontal="left"/>
    </xf>
    <xf numFmtId="0" fontId="3" fillId="2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left"/>
    </xf>
    <xf numFmtId="0" fontId="3" fillId="20" borderId="142" xfId="0" applyFont="1" applyFill="1" applyBorder="1" applyAlignment="1">
      <alignment vertical="center"/>
    </xf>
    <xf numFmtId="0" fontId="3" fillId="20" borderId="142" xfId="0" quotePrefix="1" applyFont="1" applyFill="1" applyBorder="1" applyAlignment="1">
      <alignment vertical="center"/>
    </xf>
    <xf numFmtId="0" fontId="3" fillId="22" borderId="142" xfId="0" applyFont="1" applyFill="1" applyBorder="1" applyAlignment="1"/>
    <xf numFmtId="0" fontId="3" fillId="22" borderId="140" xfId="0" applyFont="1" applyFill="1" applyBorder="1" applyAlignment="1">
      <alignment horizontal="center"/>
    </xf>
    <xf numFmtId="0" fontId="3" fillId="22" borderId="23" xfId="0" applyFont="1" applyFill="1" applyBorder="1" applyAlignment="1">
      <alignment horizontal="left"/>
    </xf>
    <xf numFmtId="38" fontId="13" fillId="22" borderId="85" xfId="0" applyNumberFormat="1" applyFont="1" applyFill="1" applyBorder="1" applyAlignment="1">
      <alignment horizontal="right"/>
    </xf>
    <xf numFmtId="0" fontId="3" fillId="20" borderId="236" xfId="0" applyFont="1" applyFill="1" applyBorder="1" applyAlignment="1">
      <alignment horizontal="right"/>
    </xf>
    <xf numFmtId="0" fontId="3" fillId="20" borderId="237" xfId="0" applyFont="1" applyFill="1" applyBorder="1" applyAlignment="1">
      <alignment horizontal="left"/>
    </xf>
    <xf numFmtId="0" fontId="44" fillId="20" borderId="238" xfId="0" applyFont="1" applyFill="1" applyBorder="1" applyAlignment="1">
      <alignment horizontal="right"/>
    </xf>
    <xf numFmtId="38" fontId="13" fillId="20" borderId="238" xfId="0" applyNumberFormat="1" applyFont="1" applyFill="1" applyBorder="1" applyAlignment="1">
      <alignment horizontal="right"/>
    </xf>
    <xf numFmtId="38" fontId="3" fillId="20" borderId="239" xfId="0" applyNumberFormat="1" applyFont="1" applyFill="1" applyBorder="1" applyAlignment="1">
      <alignment horizontal="right" shrinkToFit="1"/>
    </xf>
    <xf numFmtId="0" fontId="3" fillId="20" borderId="240" xfId="0" applyFont="1" applyFill="1" applyBorder="1" applyAlignment="1">
      <alignment horizontal="right"/>
    </xf>
    <xf numFmtId="0" fontId="3" fillId="20" borderId="241" xfId="0" applyFont="1" applyFill="1" applyBorder="1" applyAlignment="1">
      <alignment horizontal="left"/>
    </xf>
    <xf numFmtId="0" fontId="44" fillId="20" borderId="242" xfId="0" applyFont="1" applyFill="1" applyBorder="1" applyAlignment="1">
      <alignment horizontal="right"/>
    </xf>
    <xf numFmtId="38" fontId="3" fillId="20" borderId="242" xfId="0" applyNumberFormat="1" applyFont="1" applyFill="1" applyBorder="1" applyAlignment="1">
      <alignment horizontal="right" shrinkToFit="1"/>
    </xf>
    <xf numFmtId="38" fontId="3" fillId="20" borderId="243" xfId="0" applyNumberFormat="1" applyFont="1" applyFill="1" applyBorder="1" applyAlignment="1">
      <alignment horizontal="right" shrinkToFit="1"/>
    </xf>
    <xf numFmtId="38" fontId="3" fillId="20" borderId="0" xfId="0" applyNumberFormat="1" applyFont="1" applyFill="1" applyBorder="1" applyAlignment="1">
      <alignment horizontal="right" shrinkToFit="1"/>
    </xf>
    <xf numFmtId="0" fontId="13" fillId="20" borderId="87" xfId="0" applyFont="1" applyFill="1" applyBorder="1" applyAlignment="1">
      <alignment horizontal="right"/>
    </xf>
    <xf numFmtId="0" fontId="13" fillId="20" borderId="0" xfId="0" applyFont="1" applyFill="1" applyBorder="1" applyAlignment="1">
      <alignment horizontal="left"/>
    </xf>
    <xf numFmtId="0" fontId="13" fillId="20" borderId="234" xfId="0" applyFont="1" applyFill="1" applyBorder="1" applyAlignment="1">
      <alignment horizontal="center" shrinkToFit="1"/>
    </xf>
    <xf numFmtId="0" fontId="3" fillId="0" borderId="224" xfId="0" applyFont="1" applyFill="1" applyBorder="1" applyAlignment="1">
      <alignment horizontal="center"/>
    </xf>
    <xf numFmtId="0" fontId="3" fillId="0" borderId="225" xfId="0" applyFont="1" applyFill="1" applyBorder="1" applyAlignment="1">
      <alignment horizontal="right" vertical="center" textRotation="255"/>
    </xf>
    <xf numFmtId="0" fontId="3" fillId="0" borderId="178" xfId="0" applyFont="1" applyFill="1" applyBorder="1" applyAlignment="1">
      <alignment horizontal="left" shrinkToFit="1"/>
    </xf>
    <xf numFmtId="0" fontId="4" fillId="0" borderId="178" xfId="0" applyFont="1" applyFill="1" applyBorder="1" applyAlignment="1">
      <alignment horizontal="left"/>
    </xf>
    <xf numFmtId="0" fontId="4" fillId="0" borderId="178" xfId="0" applyFont="1" applyFill="1" applyBorder="1" applyAlignment="1">
      <alignment horizontal="left" shrinkToFit="1"/>
    </xf>
    <xf numFmtId="0" fontId="4" fillId="0" borderId="233" xfId="0" applyFont="1" applyFill="1" applyBorder="1" applyAlignment="1">
      <alignment horizontal="right"/>
    </xf>
    <xf numFmtId="38" fontId="13" fillId="0" borderId="82" xfId="0" applyNumberFormat="1" applyFont="1" applyFill="1" applyBorder="1" applyAlignment="1">
      <alignment horizontal="right"/>
    </xf>
    <xf numFmtId="0" fontId="3" fillId="0" borderId="226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 vertical="center" textRotation="255"/>
    </xf>
    <xf numFmtId="0" fontId="3" fillId="0" borderId="142" xfId="0" applyFont="1" applyFill="1" applyBorder="1" applyAlignment="1">
      <alignment horizontal="left" shrinkToFit="1"/>
    </xf>
    <xf numFmtId="0" fontId="4" fillId="0" borderId="142" xfId="0" applyFont="1" applyFill="1" applyBorder="1" applyAlignment="1">
      <alignment horizontal="left"/>
    </xf>
    <xf numFmtId="0" fontId="4" fillId="0" borderId="142" xfId="0" applyFont="1" applyFill="1" applyBorder="1" applyAlignment="1">
      <alignment horizontal="left" shrinkToFit="1"/>
    </xf>
    <xf numFmtId="0" fontId="4" fillId="0" borderId="140" xfId="0" applyFont="1" applyFill="1" applyBorder="1" applyAlignment="1">
      <alignment horizontal="right"/>
    </xf>
    <xf numFmtId="0" fontId="3" fillId="20" borderId="226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right" vertical="center" textRotation="255"/>
    </xf>
    <xf numFmtId="0" fontId="3" fillId="20" borderId="142" xfId="0" applyFont="1" applyFill="1" applyBorder="1" applyAlignment="1">
      <alignment horizontal="left" shrinkToFit="1"/>
    </xf>
    <xf numFmtId="0" fontId="4" fillId="20" borderId="142" xfId="0" applyFont="1" applyFill="1" applyBorder="1" applyAlignment="1">
      <alignment horizontal="left"/>
    </xf>
    <xf numFmtId="0" fontId="4" fillId="20" borderId="142" xfId="0" applyFont="1" applyFill="1" applyBorder="1" applyAlignment="1">
      <alignment horizontal="left" shrinkToFit="1"/>
    </xf>
    <xf numFmtId="0" fontId="4" fillId="20" borderId="140" xfId="0" applyFont="1" applyFill="1" applyBorder="1" applyAlignment="1">
      <alignment horizontal="right"/>
    </xf>
    <xf numFmtId="38" fontId="3" fillId="20" borderId="31" xfId="0" applyNumberFormat="1" applyFont="1" applyFill="1" applyBorder="1" applyAlignment="1">
      <alignment horizontal="right" shrinkToFit="1"/>
    </xf>
    <xf numFmtId="0" fontId="3" fillId="22" borderId="142" xfId="0" quotePrefix="1" applyFont="1" applyFill="1" applyBorder="1" applyAlignment="1">
      <alignment vertical="center"/>
    </xf>
    <xf numFmtId="0" fontId="3" fillId="22" borderId="142" xfId="0" applyFont="1" applyFill="1" applyBorder="1" applyAlignment="1">
      <alignment horizontal="left"/>
    </xf>
    <xf numFmtId="0" fontId="3" fillId="22" borderId="142" xfId="0" applyFont="1" applyFill="1" applyBorder="1" applyAlignment="1">
      <alignment horizontal="center"/>
    </xf>
    <xf numFmtId="0" fontId="3" fillId="22" borderId="140" xfId="0" applyFont="1" applyFill="1" applyBorder="1" applyAlignment="1">
      <alignment horizontal="right"/>
    </xf>
    <xf numFmtId="0" fontId="3" fillId="22" borderId="31" xfId="0" applyFont="1" applyFill="1" applyBorder="1" applyAlignment="1">
      <alignment horizontal="right"/>
    </xf>
    <xf numFmtId="38" fontId="3" fillId="20" borderId="99" xfId="0" applyNumberFormat="1" applyFont="1" applyFill="1" applyBorder="1" applyAlignment="1">
      <alignment horizontal="right" shrinkToFit="1"/>
    </xf>
    <xf numFmtId="0" fontId="3" fillId="22" borderId="98" xfId="0" applyFont="1" applyFill="1" applyBorder="1" applyAlignment="1">
      <alignment horizontal="right"/>
    </xf>
    <xf numFmtId="0" fontId="3" fillId="18" borderId="14" xfId="0" applyFont="1" applyFill="1" applyBorder="1" applyAlignment="1">
      <alignment horizontal="right"/>
    </xf>
    <xf numFmtId="0" fontId="3" fillId="18" borderId="15" xfId="0" applyFont="1" applyFill="1" applyBorder="1" applyAlignment="1">
      <alignment horizontal="left"/>
    </xf>
    <xf numFmtId="0" fontId="3" fillId="18" borderId="227" xfId="0" applyFont="1" applyFill="1" applyBorder="1" applyAlignment="1">
      <alignment horizontal="right"/>
    </xf>
    <xf numFmtId="38" fontId="13" fillId="18" borderId="151" xfId="0" applyNumberFormat="1" applyFont="1" applyFill="1" applyBorder="1" applyAlignment="1">
      <alignment horizontal="right"/>
    </xf>
    <xf numFmtId="38" fontId="3" fillId="18" borderId="152" xfId="0" applyNumberFormat="1" applyFont="1" applyFill="1" applyBorder="1" applyAlignment="1">
      <alignment horizontal="right" shrinkToFit="1"/>
    </xf>
    <xf numFmtId="0" fontId="3" fillId="23" borderId="0" xfId="0" applyFont="1" applyFill="1" applyBorder="1" applyAlignment="1"/>
    <xf numFmtId="0" fontId="3" fillId="20" borderId="0" xfId="0" applyFont="1" applyFill="1" applyBorder="1" applyAlignment="1">
      <alignment horizontal="left" vertical="center" textRotation="255"/>
    </xf>
    <xf numFmtId="38" fontId="13" fillId="18" borderId="152" xfId="0" applyNumberFormat="1" applyFont="1" applyFill="1" applyBorder="1" applyAlignment="1">
      <alignment horizontal="right"/>
    </xf>
    <xf numFmtId="0" fontId="3" fillId="20" borderId="141" xfId="0" applyFont="1" applyFill="1" applyBorder="1" applyAlignment="1">
      <alignment horizontal="left"/>
    </xf>
    <xf numFmtId="0" fontId="3" fillId="20" borderId="178" xfId="0" applyFont="1" applyFill="1" applyBorder="1" applyAlignment="1">
      <alignment horizontal="left"/>
    </xf>
    <xf numFmtId="0" fontId="3" fillId="20" borderId="142" xfId="0" applyFont="1" applyFill="1" applyBorder="1" applyAlignment="1">
      <alignment horizontal="left" vertical="center"/>
    </xf>
    <xf numFmtId="0" fontId="3" fillId="20" borderId="142" xfId="0" applyFont="1" applyFill="1" applyBorder="1" applyAlignment="1">
      <alignment horizontal="left"/>
    </xf>
    <xf numFmtId="0" fontId="3" fillId="20" borderId="142" xfId="0" quotePrefix="1" applyFont="1" applyFill="1" applyBorder="1" applyAlignment="1">
      <alignment horizontal="left" vertical="center"/>
    </xf>
    <xf numFmtId="0" fontId="3" fillId="18" borderId="236" xfId="0" applyFont="1" applyFill="1" applyBorder="1" applyAlignment="1">
      <alignment horizontal="right"/>
    </xf>
    <xf numFmtId="0" fontId="3" fillId="18" borderId="237" xfId="0" applyFont="1" applyFill="1" applyBorder="1" applyAlignment="1">
      <alignment horizontal="left"/>
    </xf>
    <xf numFmtId="0" fontId="3" fillId="18" borderId="244" xfId="0" applyFont="1" applyFill="1" applyBorder="1" applyAlignment="1">
      <alignment horizontal="right"/>
    </xf>
    <xf numFmtId="38" fontId="13" fillId="18" borderId="238" xfId="0" applyNumberFormat="1" applyFont="1" applyFill="1" applyBorder="1" applyAlignment="1">
      <alignment horizontal="right"/>
    </xf>
    <xf numFmtId="38" fontId="3" fillId="18" borderId="239" xfId="0" applyNumberFormat="1" applyFont="1" applyFill="1" applyBorder="1" applyAlignment="1">
      <alignment horizontal="right" shrinkToFit="1"/>
    </xf>
    <xf numFmtId="0" fontId="3" fillId="20" borderId="156" xfId="0" applyFont="1" applyFill="1" applyBorder="1" applyAlignment="1">
      <alignment horizontal="right"/>
    </xf>
    <xf numFmtId="0" fontId="3" fillId="24" borderId="236" xfId="0" applyFont="1" applyFill="1" applyBorder="1" applyAlignment="1">
      <alignment horizontal="left"/>
    </xf>
    <xf numFmtId="0" fontId="3" fillId="24" borderId="237" xfId="0" applyFont="1" applyFill="1" applyBorder="1" applyAlignment="1">
      <alignment horizontal="left"/>
    </xf>
    <xf numFmtId="0" fontId="3" fillId="24" borderId="244" xfId="0" applyFont="1" applyFill="1" applyBorder="1" applyAlignment="1">
      <alignment horizontal="right"/>
    </xf>
    <xf numFmtId="38" fontId="13" fillId="24" borderId="238" xfId="0" applyNumberFormat="1" applyFont="1" applyFill="1" applyBorder="1" applyAlignment="1">
      <alignment horizontal="right"/>
    </xf>
    <xf numFmtId="0" fontId="3" fillId="23" borderId="236" xfId="0" applyFont="1" applyFill="1" applyBorder="1" applyAlignment="1">
      <alignment horizontal="right"/>
    </xf>
    <xf numFmtId="0" fontId="3" fillId="23" borderId="237" xfId="0" applyFont="1" applyFill="1" applyBorder="1" applyAlignment="1">
      <alignment horizontal="left"/>
    </xf>
    <xf numFmtId="0" fontId="3" fillId="23" borderId="244" xfId="0" applyFont="1" applyFill="1" applyBorder="1" applyAlignment="1">
      <alignment horizontal="right"/>
    </xf>
    <xf numFmtId="38" fontId="13" fillId="23" borderId="238" xfId="0" applyNumberFormat="1" applyFont="1" applyFill="1" applyBorder="1" applyAlignment="1">
      <alignment horizontal="right"/>
    </xf>
    <xf numFmtId="38" fontId="13" fillId="23" borderId="239" xfId="0" applyNumberFormat="1" applyFont="1" applyFill="1" applyBorder="1" applyAlignment="1">
      <alignment horizontal="right"/>
    </xf>
    <xf numFmtId="0" fontId="3" fillId="20" borderId="240" xfId="0" applyFont="1" applyFill="1" applyBorder="1" applyAlignment="1"/>
    <xf numFmtId="0" fontId="3" fillId="20" borderId="241" xfId="0" applyFont="1" applyFill="1" applyBorder="1" applyAlignment="1"/>
    <xf numFmtId="0" fontId="44" fillId="20" borderId="245" xfId="0" applyFont="1" applyFill="1" applyBorder="1" applyAlignment="1">
      <alignment horizontal="right"/>
    </xf>
    <xf numFmtId="38" fontId="3" fillId="20" borderId="242" xfId="0" applyNumberFormat="1" applyFont="1" applyFill="1" applyBorder="1" applyAlignment="1"/>
    <xf numFmtId="38" fontId="3" fillId="20" borderId="243" xfId="0" applyNumberFormat="1" applyFont="1" applyFill="1" applyBorder="1" applyAlignment="1"/>
    <xf numFmtId="0" fontId="3" fillId="20" borderId="230" xfId="0" applyFont="1" applyFill="1" applyBorder="1" applyAlignment="1"/>
    <xf numFmtId="0" fontId="3" fillId="20" borderId="87" xfId="0" applyFont="1" applyFill="1" applyBorder="1" applyAlignment="1"/>
    <xf numFmtId="38" fontId="45" fillId="20" borderId="87" xfId="0" applyNumberFormat="1" applyFont="1" applyFill="1" applyBorder="1" applyAlignment="1">
      <alignment shrinkToFit="1"/>
    </xf>
    <xf numFmtId="38" fontId="45" fillId="20" borderId="87" xfId="0" applyNumberFormat="1" applyFont="1" applyFill="1" applyBorder="1" applyAlignment="1"/>
    <xf numFmtId="0" fontId="3" fillId="20" borderId="0" xfId="0" applyFont="1" applyFill="1" applyBorder="1" applyAlignment="1">
      <alignment shrinkToFit="1"/>
    </xf>
    <xf numFmtId="0" fontId="48" fillId="16" borderId="213" xfId="0" applyFont="1" applyFill="1" applyBorder="1" applyAlignment="1" applyProtection="1">
      <alignment horizontal="center" vertical="center" wrapText="1" shrinkToFit="1"/>
    </xf>
    <xf numFmtId="3" fontId="13" fillId="0" borderId="164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217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76" xfId="1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NumberFormat="1"/>
    <xf numFmtId="177" fontId="13" fillId="18" borderId="166" xfId="0" applyNumberFormat="1" applyFont="1" applyFill="1" applyBorder="1" applyAlignment="1" applyProtection="1">
      <alignment horizontal="center" vertical="center" shrinkToFit="1"/>
    </xf>
    <xf numFmtId="0" fontId="13" fillId="0" borderId="73" xfId="1" applyNumberFormat="1" applyFont="1" applyBorder="1" applyAlignment="1" applyProtection="1">
      <alignment horizontal="center" vertical="center" shrinkToFit="1"/>
      <protection locked="0"/>
    </xf>
    <xf numFmtId="0" fontId="13" fillId="0" borderId="76" xfId="1" applyNumberFormat="1" applyFont="1" applyBorder="1" applyAlignment="1" applyProtection="1">
      <alignment horizontal="center" vertical="center" shrinkToFit="1"/>
      <protection locked="0"/>
    </xf>
    <xf numFmtId="38" fontId="3" fillId="0" borderId="200" xfId="1" applyFont="1" applyFill="1" applyBorder="1" applyAlignment="1">
      <alignment horizontal="right"/>
    </xf>
    <xf numFmtId="38" fontId="3" fillId="0" borderId="31" xfId="1" applyFont="1" applyFill="1" applyBorder="1" applyAlignment="1">
      <alignment horizontal="right"/>
    </xf>
    <xf numFmtId="0" fontId="3" fillId="20" borderId="87" xfId="0" applyFont="1" applyFill="1" applyBorder="1" applyAlignment="1">
      <alignment horizontal="center"/>
    </xf>
    <xf numFmtId="0" fontId="3" fillId="20" borderId="225" xfId="0" applyFont="1" applyFill="1" applyBorder="1" applyAlignment="1">
      <alignment horizontal="left" vertical="center"/>
    </xf>
    <xf numFmtId="0" fontId="3" fillId="20" borderId="225" xfId="0" applyFont="1" applyFill="1" applyBorder="1" applyAlignment="1">
      <alignment horizontal="left"/>
    </xf>
    <xf numFmtId="0" fontId="3" fillId="20" borderId="225" xfId="0" applyFont="1" applyFill="1" applyBorder="1" applyAlignment="1">
      <alignment horizontal="center"/>
    </xf>
    <xf numFmtId="38" fontId="3" fillId="20" borderId="225" xfId="0" applyNumberFormat="1" applyFont="1" applyFill="1" applyBorder="1" applyAlignment="1">
      <alignment horizontal="right" shrinkToFit="1"/>
    </xf>
    <xf numFmtId="38" fontId="3" fillId="20" borderId="248" xfId="0" applyNumberFormat="1" applyFont="1" applyFill="1" applyBorder="1" applyAlignment="1">
      <alignment horizontal="right" shrinkToFit="1"/>
    </xf>
    <xf numFmtId="0" fontId="46" fillId="20" borderId="0" xfId="0" applyFont="1" applyFill="1" applyBorder="1" applyAlignment="1">
      <alignment horizontal="right"/>
    </xf>
    <xf numFmtId="38" fontId="3" fillId="20" borderId="98" xfId="0" applyNumberFormat="1" applyFont="1" applyFill="1" applyBorder="1" applyAlignment="1">
      <alignment horizontal="right" shrinkToFit="1"/>
    </xf>
    <xf numFmtId="38" fontId="3" fillId="0" borderId="98" xfId="0" applyNumberFormat="1" applyFont="1" applyFill="1" applyBorder="1" applyAlignment="1">
      <alignment horizontal="right" shrinkToFit="1"/>
    </xf>
    <xf numFmtId="0" fontId="3" fillId="20" borderId="225" xfId="0" applyFont="1" applyFill="1" applyBorder="1" applyAlignment="1">
      <alignment horizontal="center" vertical="center"/>
    </xf>
    <xf numFmtId="0" fontId="45" fillId="20" borderId="87" xfId="0" applyFont="1" applyFill="1" applyBorder="1" applyAlignment="1">
      <alignment horizontal="distributed"/>
    </xf>
    <xf numFmtId="0" fontId="45" fillId="20" borderId="87" xfId="0" applyFont="1" applyFill="1" applyBorder="1" applyAlignment="1">
      <alignment horizontal="right"/>
    </xf>
    <xf numFmtId="0" fontId="45" fillId="20" borderId="235" xfId="0" applyFont="1" applyFill="1" applyBorder="1" applyAlignment="1">
      <alignment horizontal="center"/>
    </xf>
    <xf numFmtId="38" fontId="3" fillId="0" borderId="89" xfId="0" applyNumberFormat="1" applyFont="1" applyFill="1" applyBorder="1" applyAlignment="1">
      <alignment horizontal="right" shrinkToFit="1"/>
    </xf>
    <xf numFmtId="0" fontId="3" fillId="20" borderId="233" xfId="0" applyFont="1" applyFill="1" applyBorder="1" applyAlignment="1"/>
    <xf numFmtId="0" fontId="44" fillId="20" borderId="233" xfId="0" applyFont="1" applyFill="1" applyBorder="1" applyAlignment="1"/>
    <xf numFmtId="0" fontId="46" fillId="20" borderId="85" xfId="0" applyFont="1" applyFill="1" applyBorder="1" applyAlignment="1">
      <alignment horizontal="right"/>
    </xf>
    <xf numFmtId="38" fontId="3" fillId="0" borderId="85" xfId="0" applyNumberFormat="1" applyFont="1" applyFill="1" applyBorder="1" applyAlignment="1">
      <alignment horizontal="right" shrinkToFit="1"/>
    </xf>
    <xf numFmtId="0" fontId="46" fillId="20" borderId="89" xfId="0" applyFont="1" applyFill="1" applyBorder="1" applyAlignment="1">
      <alignment horizontal="right"/>
    </xf>
    <xf numFmtId="0" fontId="3" fillId="20" borderId="176" xfId="0" applyFont="1" applyFill="1" applyBorder="1" applyAlignment="1">
      <alignment horizontal="left"/>
    </xf>
    <xf numFmtId="0" fontId="46" fillId="20" borderId="226" xfId="0" applyFont="1" applyFill="1" applyBorder="1" applyAlignment="1">
      <alignment horizontal="right"/>
    </xf>
    <xf numFmtId="0" fontId="3" fillId="20" borderId="82" xfId="0" applyFont="1" applyFill="1" applyBorder="1" applyAlignment="1">
      <alignment horizontal="right"/>
    </xf>
    <xf numFmtId="0" fontId="34" fillId="0" borderId="39" xfId="0" applyFont="1" applyBorder="1" applyAlignment="1" applyProtection="1">
      <alignment vertical="center" shrinkToFit="1"/>
      <protection locked="0"/>
    </xf>
    <xf numFmtId="0" fontId="3" fillId="0" borderId="226" xfId="0" applyFont="1" applyFill="1" applyBorder="1" applyAlignment="1">
      <alignment vertical="center" shrinkToFit="1"/>
    </xf>
    <xf numFmtId="38" fontId="3" fillId="16" borderId="200" xfId="0" applyNumberFormat="1" applyFont="1" applyFill="1" applyBorder="1" applyAlignment="1">
      <alignment horizontal="right" shrinkToFit="1"/>
    </xf>
    <xf numFmtId="0" fontId="13" fillId="0" borderId="250" xfId="0" applyNumberFormat="1" applyFont="1" applyBorder="1" applyAlignment="1" applyProtection="1">
      <alignment horizontal="right" vertical="center"/>
      <protection locked="0"/>
    </xf>
    <xf numFmtId="0" fontId="13" fillId="0" borderId="251" xfId="0" applyFont="1" applyBorder="1" applyAlignment="1" applyProtection="1">
      <alignment vertical="center"/>
      <protection locked="0"/>
    </xf>
    <xf numFmtId="0" fontId="13" fillId="0" borderId="252" xfId="0" applyFont="1" applyBorder="1" applyAlignment="1" applyProtection="1">
      <alignment vertical="center" wrapText="1"/>
      <protection locked="0"/>
    </xf>
    <xf numFmtId="186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2" xfId="0" applyFont="1" applyBorder="1" applyAlignment="1" applyProtection="1">
      <alignment horizontal="center" vertical="center" shrinkToFit="1"/>
      <protection locked="0"/>
    </xf>
    <xf numFmtId="38" fontId="13" fillId="0" borderId="252" xfId="0" applyNumberFormat="1" applyFont="1" applyBorder="1" applyAlignment="1" applyProtection="1">
      <alignment vertical="center" shrinkToFit="1"/>
      <protection locked="0"/>
    </xf>
    <xf numFmtId="177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3" xfId="0" applyFont="1" applyBorder="1" applyAlignment="1" applyProtection="1">
      <alignment vertical="center"/>
      <protection locked="0"/>
    </xf>
    <xf numFmtId="0" fontId="13" fillId="0" borderId="77" xfId="0" applyFont="1" applyBorder="1" applyAlignment="1" applyProtection="1">
      <alignment horizontal="right" vertical="center"/>
      <protection locked="0"/>
    </xf>
    <xf numFmtId="186" fontId="13" fillId="0" borderId="63" xfId="0" applyNumberFormat="1" applyFont="1" applyBorder="1" applyAlignment="1" applyProtection="1">
      <alignment vertical="center" shrinkToFit="1"/>
      <protection locked="0"/>
    </xf>
    <xf numFmtId="38" fontId="13" fillId="0" borderId="63" xfId="0" applyNumberFormat="1" applyFont="1" applyBorder="1" applyAlignment="1" applyProtection="1">
      <alignment vertical="center" shrinkToFit="1"/>
      <protection locked="0"/>
    </xf>
    <xf numFmtId="177" fontId="13" fillId="0" borderId="63" xfId="0" applyNumberFormat="1" applyFont="1" applyBorder="1" applyAlignment="1" applyProtection="1">
      <alignment vertical="center" shrinkToFit="1"/>
      <protection locked="0"/>
    </xf>
    <xf numFmtId="0" fontId="13" fillId="0" borderId="254" xfId="0" applyFont="1" applyBorder="1" applyAlignment="1" applyProtection="1">
      <alignment vertical="center"/>
      <protection locked="0"/>
    </xf>
    <xf numFmtId="0" fontId="13" fillId="0" borderId="250" xfId="0" applyFont="1" applyBorder="1" applyAlignment="1" applyProtection="1">
      <alignment horizontal="right" vertical="center"/>
      <protection locked="0"/>
    </xf>
    <xf numFmtId="38" fontId="13" fillId="0" borderId="247" xfId="1" applyFont="1" applyBorder="1" applyAlignment="1" applyProtection="1">
      <alignment horizontal="center" vertical="center" shrinkToFit="1"/>
    </xf>
    <xf numFmtId="38" fontId="13" fillId="0" borderId="217" xfId="1" applyFont="1" applyBorder="1" applyAlignment="1" applyProtection="1">
      <alignment horizontal="center" vertical="center" shrinkToFit="1"/>
    </xf>
    <xf numFmtId="0" fontId="11" fillId="0" borderId="0" xfId="0" applyFont="1" applyFill="1" applyBorder="1" applyAlignment="1">
      <alignment horizontal="center"/>
    </xf>
    <xf numFmtId="0" fontId="11" fillId="20" borderId="227" xfId="0" applyFont="1" applyFill="1" applyBorder="1" applyAlignment="1">
      <alignment horizontal="center"/>
    </xf>
    <xf numFmtId="0" fontId="3" fillId="20" borderId="205" xfId="0" applyFont="1" applyFill="1" applyBorder="1" applyAlignment="1"/>
    <xf numFmtId="0" fontId="11" fillId="20" borderId="0" xfId="0" applyFont="1" applyFill="1" applyBorder="1" applyAlignment="1"/>
    <xf numFmtId="0" fontId="11" fillId="25" borderId="14" xfId="0" applyFont="1" applyFill="1" applyBorder="1" applyAlignment="1"/>
    <xf numFmtId="0" fontId="11" fillId="25" borderId="15" xfId="0" applyFont="1" applyFill="1" applyBorder="1" applyAlignment="1"/>
    <xf numFmtId="0" fontId="11" fillId="25" borderId="11" xfId="0" applyFont="1" applyFill="1" applyBorder="1" applyAlignment="1">
      <alignment horizontal="center"/>
    </xf>
    <xf numFmtId="0" fontId="3" fillId="22" borderId="23" xfId="0" applyFont="1" applyFill="1" applyBorder="1" applyAlignment="1">
      <alignment horizontal="right"/>
    </xf>
    <xf numFmtId="0" fontId="3" fillId="0" borderId="206" xfId="0" applyFont="1" applyBorder="1" applyAlignment="1">
      <alignment horizontal="center" vertical="center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" fillId="0" borderId="256" xfId="0" applyFont="1" applyBorder="1" applyAlignment="1" applyProtection="1">
      <alignment vertical="center"/>
      <protection locked="0"/>
    </xf>
    <xf numFmtId="0" fontId="3" fillId="0" borderId="215" xfId="0" applyFont="1" applyBorder="1" applyAlignment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0" borderId="257" xfId="0" applyFont="1" applyBorder="1" applyAlignment="1">
      <alignment vertical="center"/>
    </xf>
    <xf numFmtId="0" fontId="13" fillId="26" borderId="39" xfId="0" applyFont="1" applyFill="1" applyBorder="1" applyAlignment="1" applyProtection="1">
      <alignment vertical="center"/>
      <protection locked="0"/>
    </xf>
    <xf numFmtId="38" fontId="13" fillId="26" borderId="39" xfId="1" applyFont="1" applyFill="1" applyBorder="1" applyAlignment="1" applyProtection="1">
      <alignment vertical="center"/>
      <protection locked="0"/>
    </xf>
    <xf numFmtId="176" fontId="13" fillId="27" borderId="78" xfId="0" applyNumberFormat="1" applyFont="1" applyFill="1" applyBorder="1" applyAlignment="1" applyProtection="1">
      <alignment vertical="center"/>
      <protection locked="0"/>
    </xf>
    <xf numFmtId="179" fontId="13" fillId="27" borderId="70" xfId="0" applyNumberFormat="1" applyFont="1" applyFill="1" applyBorder="1" applyAlignment="1" applyProtection="1">
      <alignment vertical="center"/>
      <protection locked="0"/>
    </xf>
    <xf numFmtId="0" fontId="13" fillId="27" borderId="70" xfId="0" applyFont="1" applyFill="1" applyBorder="1" applyAlignment="1" applyProtection="1">
      <alignment vertical="center"/>
      <protection locked="0"/>
    </xf>
    <xf numFmtId="38" fontId="13" fillId="24" borderId="239" xfId="0" applyNumberFormat="1" applyFont="1" applyFill="1" applyBorder="1" applyAlignment="1">
      <alignment horizontal="right"/>
    </xf>
    <xf numFmtId="0" fontId="12" fillId="0" borderId="65" xfId="0" applyFont="1" applyBorder="1" applyAlignment="1" applyProtection="1">
      <alignment horizontal="center" vertical="center"/>
    </xf>
    <xf numFmtId="38" fontId="45" fillId="0" borderId="31" xfId="0" applyNumberFormat="1" applyFont="1" applyFill="1" applyBorder="1" applyAlignment="1">
      <alignment horizontal="right" shrinkToFit="1"/>
    </xf>
    <xf numFmtId="0" fontId="12" fillId="0" borderId="64" xfId="0" applyFont="1" applyBorder="1" applyAlignment="1" applyProtection="1">
      <alignment horizontal="center" vertical="center"/>
    </xf>
    <xf numFmtId="0" fontId="5" fillId="0" borderId="64" xfId="0" applyFont="1" applyBorder="1" applyAlignment="1" applyProtection="1">
      <alignment horizontal="center" vertical="center"/>
    </xf>
    <xf numFmtId="0" fontId="5" fillId="0" borderId="65" xfId="0" applyFont="1" applyBorder="1" applyAlignment="1" applyProtection="1">
      <alignment horizontal="center" vertical="center"/>
    </xf>
    <xf numFmtId="0" fontId="3" fillId="0" borderId="49" xfId="0" applyFont="1" applyBorder="1" applyAlignment="1">
      <alignment horizontal="center" vertical="center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 shrinkToFit="1"/>
    </xf>
    <xf numFmtId="0" fontId="50" fillId="0" borderId="0" xfId="0" applyFont="1" applyFill="1" applyBorder="1" applyAlignment="1">
      <alignment horizontal="right" shrinkToFit="1"/>
    </xf>
    <xf numFmtId="0" fontId="50" fillId="0" borderId="0" xfId="0" applyFont="1" applyFill="1" applyBorder="1" applyAlignment="1">
      <alignment horizontal="center" shrinkToFit="1"/>
    </xf>
    <xf numFmtId="0" fontId="4" fillId="0" borderId="0" xfId="0" applyFont="1" applyBorder="1" applyAlignment="1">
      <alignment vertical="center"/>
    </xf>
    <xf numFmtId="0" fontId="51" fillId="27" borderId="12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 shrinkToFit="1"/>
    </xf>
    <xf numFmtId="0" fontId="9" fillId="0" borderId="224" xfId="0" applyFont="1" applyFill="1" applyBorder="1" applyAlignment="1">
      <alignment horizontal="right" vertical="center"/>
    </xf>
    <xf numFmtId="0" fontId="9" fillId="0" borderId="225" xfId="0" applyFont="1" applyFill="1" applyBorder="1" applyAlignment="1">
      <alignment horizontal="right" vertical="center"/>
    </xf>
    <xf numFmtId="0" fontId="4" fillId="0" borderId="225" xfId="0" applyFont="1" applyBorder="1" applyAlignment="1">
      <alignment vertical="center"/>
    </xf>
    <xf numFmtId="0" fontId="52" fillId="0" borderId="225" xfId="0" applyFont="1" applyFill="1" applyBorder="1" applyAlignment="1">
      <alignment horizontal="center" vertical="center"/>
    </xf>
    <xf numFmtId="0" fontId="9" fillId="0" borderId="225" xfId="0" applyFont="1" applyFill="1" applyBorder="1" applyAlignment="1">
      <alignment horizontal="center" vertical="center"/>
    </xf>
    <xf numFmtId="0" fontId="9" fillId="28" borderId="231" xfId="0" applyFont="1" applyFill="1" applyBorder="1" applyAlignment="1">
      <alignment horizontal="center" vertical="center"/>
    </xf>
    <xf numFmtId="177" fontId="53" fillId="0" borderId="82" xfId="0" applyNumberFormat="1" applyFont="1" applyFill="1" applyBorder="1" applyAlignment="1">
      <alignment horizontal="center" vertical="center" shrinkToFit="1"/>
    </xf>
    <xf numFmtId="177" fontId="9" fillId="0" borderId="231" xfId="0" applyNumberFormat="1" applyFont="1" applyFill="1" applyBorder="1" applyAlignment="1">
      <alignment horizontal="right" vertical="center"/>
    </xf>
    <xf numFmtId="177" fontId="9" fillId="0" borderId="231" xfId="0" applyNumberFormat="1" applyFont="1" applyFill="1" applyBorder="1" applyAlignment="1">
      <alignment vertical="center" shrinkToFit="1"/>
    </xf>
    <xf numFmtId="177" fontId="9" fillId="0" borderId="231" xfId="0" applyNumberFormat="1" applyFont="1" applyFill="1" applyBorder="1" applyAlignment="1">
      <alignment horizontal="right" vertical="center" shrinkToFit="1"/>
    </xf>
    <xf numFmtId="177" fontId="9" fillId="0" borderId="248" xfId="0" applyNumberFormat="1" applyFont="1" applyFill="1" applyBorder="1" applyAlignment="1">
      <alignment vertical="center" shrinkToFit="1"/>
    </xf>
    <xf numFmtId="0" fontId="9" fillId="0" borderId="226" xfId="0" applyFont="1" applyFill="1" applyBorder="1" applyAlignment="1">
      <alignment horizontal="right" vertical="center"/>
    </xf>
    <xf numFmtId="0" fontId="9" fillId="0" borderId="139" xfId="0" applyFont="1" applyFill="1" applyBorder="1" applyAlignment="1">
      <alignment horizontal="center" vertical="center"/>
    </xf>
    <xf numFmtId="177" fontId="9" fillId="0" borderId="120" xfId="0" applyNumberFormat="1" applyFont="1" applyFill="1" applyBorder="1" applyAlignment="1">
      <alignment horizontal="right" vertical="center"/>
    </xf>
    <xf numFmtId="177" fontId="9" fillId="0" borderId="120" xfId="0" applyNumberFormat="1" applyFont="1" applyFill="1" applyBorder="1" applyAlignment="1">
      <alignment vertical="center" shrinkToFit="1"/>
    </xf>
    <xf numFmtId="177" fontId="9" fillId="0" borderId="120" xfId="0" applyNumberFormat="1" applyFont="1" applyFill="1" applyBorder="1" applyAlignment="1">
      <alignment horizontal="right" vertical="center" shrinkToFit="1"/>
    </xf>
    <xf numFmtId="177" fontId="9" fillId="0" borderId="259" xfId="0" applyNumberFormat="1" applyFont="1" applyFill="1" applyBorder="1" applyAlignment="1">
      <alignment vertical="center" shrinkToFit="1"/>
    </xf>
    <xf numFmtId="0" fontId="9" fillId="0" borderId="14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center" vertical="center"/>
    </xf>
    <xf numFmtId="177" fontId="9" fillId="0" borderId="151" xfId="0" applyNumberFormat="1" applyFont="1" applyFill="1" applyBorder="1" applyAlignment="1">
      <alignment horizontal="right" vertical="center"/>
    </xf>
    <xf numFmtId="177" fontId="9" fillId="0" borderId="151" xfId="0" applyNumberFormat="1" applyFont="1" applyFill="1" applyBorder="1" applyAlignment="1">
      <alignment vertical="center" shrinkToFit="1"/>
    </xf>
    <xf numFmtId="177" fontId="9" fillId="0" borderId="151" xfId="0" applyNumberFormat="1" applyFont="1" applyFill="1" applyBorder="1" applyAlignment="1">
      <alignment horizontal="right" vertical="center" shrinkToFit="1"/>
    </xf>
    <xf numFmtId="177" fontId="9" fillId="0" borderId="123" xfId="0" applyNumberFormat="1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distributed" vertical="center"/>
    </xf>
    <xf numFmtId="0" fontId="11" fillId="0" borderId="0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4" fillId="0" borderId="224" xfId="0" applyFont="1" applyFill="1" applyBorder="1" applyAlignment="1">
      <alignment horizontal="right"/>
    </xf>
    <xf numFmtId="0" fontId="4" fillId="0" borderId="225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distributed"/>
    </xf>
    <xf numFmtId="0" fontId="44" fillId="0" borderId="178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right"/>
    </xf>
    <xf numFmtId="190" fontId="4" fillId="0" borderId="82" xfId="0" applyNumberFormat="1" applyFont="1" applyFill="1" applyBorder="1" applyAlignment="1">
      <alignment horizontal="center" shrinkToFit="1"/>
    </xf>
    <xf numFmtId="190" fontId="4" fillId="0" borderId="200" xfId="0" applyNumberFormat="1" applyFont="1" applyFill="1" applyBorder="1" applyAlignment="1">
      <alignment horizontal="center" shrinkToFit="1"/>
    </xf>
    <xf numFmtId="0" fontId="50" fillId="0" borderId="0" xfId="0" applyFont="1" applyFill="1" applyBorder="1" applyAlignment="1"/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141" xfId="0" applyFont="1" applyFill="1" applyBorder="1" applyAlignment="1">
      <alignment horizontal="distributed"/>
    </xf>
    <xf numFmtId="0" fontId="44" fillId="0" borderId="141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right"/>
    </xf>
    <xf numFmtId="190" fontId="4" fillId="0" borderId="95" xfId="0" applyNumberFormat="1" applyFont="1" applyFill="1" applyBorder="1" applyAlignment="1">
      <alignment horizontal="center" shrinkToFit="1"/>
    </xf>
    <xf numFmtId="190" fontId="4" fillId="0" borderId="99" xfId="0" applyNumberFormat="1" applyFont="1" applyFill="1" applyBorder="1" applyAlignment="1">
      <alignment horizontal="center" shrinkToFit="1"/>
    </xf>
    <xf numFmtId="38" fontId="9" fillId="0" borderId="120" xfId="0" applyNumberFormat="1" applyFont="1" applyFill="1" applyBorder="1" applyAlignment="1">
      <alignment horizontal="center" shrinkToFit="1"/>
    </xf>
    <xf numFmtId="38" fontId="9" fillId="0" borderId="122" xfId="0" applyNumberFormat="1" applyFont="1" applyFill="1" applyBorder="1" applyAlignment="1">
      <alignment horizontal="center" shrinkToFit="1"/>
    </xf>
    <xf numFmtId="0" fontId="4" fillId="0" borderId="0" xfId="0" applyFont="1" applyFill="1" applyBorder="1" applyAlignment="1"/>
    <xf numFmtId="38" fontId="4" fillId="11" borderId="95" xfId="0" applyNumberFormat="1" applyFont="1" applyFill="1" applyBorder="1" applyAlignment="1">
      <alignment horizontal="center" vertical="center" shrinkToFit="1"/>
    </xf>
    <xf numFmtId="38" fontId="4" fillId="11" borderId="99" xfId="0" applyNumberFormat="1" applyFont="1" applyFill="1" applyBorder="1" applyAlignment="1">
      <alignment horizontal="center" vertical="center" shrinkToFit="1"/>
    </xf>
    <xf numFmtId="38" fontId="4" fillId="11" borderId="89" xfId="0" applyNumberFormat="1" applyFont="1" applyFill="1" applyBorder="1" applyAlignment="1">
      <alignment horizontal="center" vertical="center" shrinkToFit="1"/>
    </xf>
    <xf numFmtId="38" fontId="4" fillId="11" borderId="100" xfId="0" applyNumberFormat="1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51" xfId="0" applyFont="1" applyFill="1" applyBorder="1" applyAlignment="1">
      <alignment horizontal="center"/>
    </xf>
    <xf numFmtId="38" fontId="9" fillId="0" borderId="151" xfId="0" applyNumberFormat="1" applyFont="1" applyFill="1" applyBorder="1" applyAlignment="1">
      <alignment horizontal="right"/>
    </xf>
    <xf numFmtId="38" fontId="9" fillId="0" borderId="151" xfId="0" applyNumberFormat="1" applyFont="1" applyFill="1" applyBorder="1" applyAlignment="1">
      <alignment horizontal="right" shrinkToFit="1"/>
    </xf>
    <xf numFmtId="38" fontId="9" fillId="0" borderId="152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/>
    </xf>
    <xf numFmtId="38" fontId="9" fillId="27" borderId="82" xfId="0" applyNumberFormat="1" applyFont="1" applyFill="1" applyBorder="1" applyAlignment="1">
      <alignment horizontal="right" shrinkToFit="1"/>
    </xf>
    <xf numFmtId="38" fontId="9" fillId="27" borderId="200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 shrinkToFit="1"/>
    </xf>
    <xf numFmtId="38" fontId="9" fillId="0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/>
    </xf>
    <xf numFmtId="38" fontId="9" fillId="0" borderId="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 shrinkToFit="1"/>
    </xf>
    <xf numFmtId="177" fontId="24" fillId="0" borderId="23" xfId="0" applyNumberFormat="1" applyFont="1" applyFill="1" applyBorder="1" applyAlignment="1">
      <alignment horizontal="right" vertical="center" shrinkToFit="1"/>
    </xf>
    <xf numFmtId="177" fontId="24" fillId="0" borderId="31" xfId="0" applyNumberFormat="1" applyFont="1" applyFill="1" applyBorder="1" applyAlignment="1">
      <alignment horizontal="right" vertical="center" shrinkToFit="1"/>
    </xf>
    <xf numFmtId="177" fontId="24" fillId="0" borderId="0" xfId="0" applyNumberFormat="1" applyFont="1" applyFill="1" applyBorder="1" applyAlignment="1">
      <alignment horizontal="right" vertical="center" shrinkToFit="1"/>
    </xf>
    <xf numFmtId="38" fontId="9" fillId="27" borderId="23" xfId="0" applyNumberFormat="1" applyFont="1" applyFill="1" applyBorder="1" applyAlignment="1">
      <alignment horizontal="right" shrinkToFit="1"/>
    </xf>
    <xf numFmtId="38" fontId="9" fillId="27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right"/>
    </xf>
    <xf numFmtId="38" fontId="9" fillId="0" borderId="121" xfId="0" applyNumberFormat="1" applyFont="1" applyFill="1" applyBorder="1" applyAlignment="1">
      <alignment horizontal="right"/>
    </xf>
    <xf numFmtId="38" fontId="9" fillId="27" borderId="121" xfId="0" applyNumberFormat="1" applyFont="1" applyFill="1" applyBorder="1" applyAlignment="1">
      <alignment horizontal="right" shrinkToFit="1"/>
    </xf>
    <xf numFmtId="38" fontId="9" fillId="27" borderId="204" xfId="0" applyNumberFormat="1" applyFont="1" applyFill="1" applyBorder="1" applyAlignment="1">
      <alignment horizontal="right" shrinkToFit="1"/>
    </xf>
    <xf numFmtId="0" fontId="44" fillId="0" borderId="226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left"/>
    </xf>
    <xf numFmtId="0" fontId="55" fillId="0" borderId="258" xfId="0" applyFont="1" applyFill="1" applyBorder="1" applyAlignment="1">
      <alignment horizontal="left"/>
    </xf>
    <xf numFmtId="0" fontId="4" fillId="0" borderId="89" xfId="0" applyFont="1" applyFill="1" applyBorder="1" applyAlignment="1">
      <alignment horizontal="center"/>
    </xf>
    <xf numFmtId="0" fontId="9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right" shrinkToFit="1"/>
    </xf>
    <xf numFmtId="0" fontId="9" fillId="0" borderId="100" xfId="0" applyFont="1" applyFill="1" applyBorder="1" applyAlignment="1">
      <alignment horizontal="right" shrinkToFit="1"/>
    </xf>
    <xf numFmtId="0" fontId="17" fillId="0" borderId="142" xfId="0" applyFont="1" applyFill="1" applyBorder="1" applyAlignment="1">
      <alignment horizontal="left"/>
    </xf>
    <xf numFmtId="0" fontId="4" fillId="0" borderId="142" xfId="0" quotePrefix="1" applyFont="1" applyFill="1" applyBorder="1" applyAlignment="1">
      <alignment horizontal="left" shrinkToFit="1"/>
    </xf>
    <xf numFmtId="0" fontId="4" fillId="0" borderId="142" xfId="0" quotePrefix="1" applyFont="1" applyFill="1" applyBorder="1" applyAlignment="1">
      <alignment horizontal="left"/>
    </xf>
    <xf numFmtId="0" fontId="50" fillId="0" borderId="139" xfId="0" applyFont="1" applyFill="1" applyBorder="1" applyAlignment="1">
      <alignment horizontal="left" shrinkToFit="1"/>
    </xf>
    <xf numFmtId="0" fontId="4" fillId="0" borderId="139" xfId="0" applyFont="1" applyFill="1" applyBorder="1" applyAlignment="1">
      <alignment horizontal="left" shrinkToFit="1"/>
    </xf>
    <xf numFmtId="0" fontId="4" fillId="0" borderId="120" xfId="0" applyFont="1" applyFill="1" applyBorder="1" applyAlignment="1">
      <alignment horizontal="right"/>
    </xf>
    <xf numFmtId="177" fontId="24" fillId="29" borderId="23" xfId="0" applyNumberFormat="1" applyFont="1" applyFill="1" applyBorder="1" applyAlignment="1">
      <alignment horizontal="right" vertical="center" shrinkToFit="1"/>
    </xf>
    <xf numFmtId="177" fontId="24" fillId="29" borderId="31" xfId="0" applyNumberFormat="1" applyFont="1" applyFill="1" applyBorder="1" applyAlignment="1">
      <alignment horizontal="right" vertical="center" shrinkToFit="1"/>
    </xf>
    <xf numFmtId="0" fontId="4" fillId="0" borderId="176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/>
    </xf>
    <xf numFmtId="38" fontId="9" fillId="0" borderId="85" xfId="0" applyNumberFormat="1" applyFont="1" applyFill="1" applyBorder="1" applyAlignment="1">
      <alignment horizontal="right"/>
    </xf>
    <xf numFmtId="38" fontId="9" fillId="27" borderId="85" xfId="0" applyNumberFormat="1" applyFont="1" applyFill="1" applyBorder="1" applyAlignment="1">
      <alignment horizontal="right" shrinkToFit="1"/>
    </xf>
    <xf numFmtId="38" fontId="9" fillId="27" borderId="98" xfId="0" applyNumberFormat="1" applyFont="1" applyFill="1" applyBorder="1" applyAlignment="1">
      <alignment horizontal="right" shrinkToFit="1"/>
    </xf>
    <xf numFmtId="0" fontId="24" fillId="0" borderId="89" xfId="0" applyFont="1" applyFill="1" applyBorder="1" applyAlignment="1">
      <alignment horizontal="center" vertical="center" wrapText="1"/>
    </xf>
    <xf numFmtId="0" fontId="56" fillId="0" borderId="89" xfId="0" applyFont="1" applyFill="1" applyBorder="1" applyAlignment="1">
      <alignment horizontal="left" vertical="center"/>
    </xf>
    <xf numFmtId="38" fontId="24" fillId="0" borderId="89" xfId="0" applyNumberFormat="1" applyFont="1" applyFill="1" applyBorder="1" applyAlignment="1">
      <alignment horizontal="right" vertical="center"/>
    </xf>
    <xf numFmtId="38" fontId="24" fillId="0" borderId="89" xfId="0" applyNumberFormat="1" applyFont="1" applyFill="1" applyBorder="1" applyAlignment="1">
      <alignment horizontal="right" vertical="center" shrinkToFit="1"/>
    </xf>
    <xf numFmtId="38" fontId="24" fillId="0" borderId="261" xfId="0" applyNumberFormat="1" applyFont="1" applyFill="1" applyBorder="1" applyAlignment="1">
      <alignment horizontal="right" vertical="center" shrinkToFit="1"/>
    </xf>
    <xf numFmtId="0" fontId="24" fillId="0" borderId="82" xfId="0" applyFont="1" applyFill="1" applyBorder="1" applyAlignment="1">
      <alignment horizontal="left" vertical="center" shrinkToFit="1"/>
    </xf>
    <xf numFmtId="0" fontId="24" fillId="0" borderId="23" xfId="0" applyNumberFormat="1" applyFont="1" applyFill="1" applyBorder="1" applyAlignment="1">
      <alignment horizontal="right" vertical="center" shrinkToFit="1"/>
    </xf>
    <xf numFmtId="10" fontId="24" fillId="0" borderId="23" xfId="0" quotePrefix="1" applyNumberFormat="1" applyFont="1" applyFill="1" applyBorder="1" applyAlignment="1">
      <alignment horizontal="right" vertical="center" shrinkToFit="1"/>
    </xf>
    <xf numFmtId="177" fontId="24" fillId="0" borderId="23" xfId="0" applyNumberFormat="1" applyFont="1" applyFill="1" applyBorder="1" applyAlignment="1">
      <alignment horizontal="right" vertical="center"/>
    </xf>
    <xf numFmtId="177" fontId="24" fillId="0" borderId="31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24" fillId="0" borderId="23" xfId="0" applyFont="1" applyFill="1" applyBorder="1" applyAlignment="1">
      <alignment horizontal="left" vertical="center" shrinkToFit="1"/>
    </xf>
    <xf numFmtId="10" fontId="24" fillId="0" borderId="23" xfId="0" applyNumberFormat="1" applyFont="1" applyFill="1" applyBorder="1" applyAlignment="1">
      <alignment horizontal="right" vertical="center" shrinkToFit="1"/>
    </xf>
    <xf numFmtId="49" fontId="24" fillId="0" borderId="142" xfId="0" applyNumberFormat="1" applyFont="1" applyFill="1" applyBorder="1" applyAlignment="1">
      <alignment horizontal="left" vertical="center" shrinkToFit="1"/>
    </xf>
    <xf numFmtId="0" fontId="24" fillId="0" borderId="23" xfId="0" applyFont="1" applyFill="1" applyBorder="1" applyAlignment="1">
      <alignment vertical="center" shrinkToFit="1"/>
    </xf>
    <xf numFmtId="0" fontId="24" fillId="0" borderId="23" xfId="0" quotePrefix="1" applyFont="1" applyFill="1" applyBorder="1" applyAlignment="1">
      <alignment horizontal="left" vertical="center" shrinkToFit="1"/>
    </xf>
    <xf numFmtId="0" fontId="57" fillId="28" borderId="120" xfId="0" applyFont="1" applyFill="1" applyBorder="1" applyAlignment="1">
      <alignment horizontal="center" vertical="center" shrinkToFit="1"/>
    </xf>
    <xf numFmtId="0" fontId="57" fillId="28" borderId="23" xfId="0" applyFont="1" applyFill="1" applyBorder="1" applyAlignment="1">
      <alignment horizontal="left" vertical="center" shrinkToFit="1"/>
    </xf>
    <xf numFmtId="0" fontId="57" fillId="28" borderId="262" xfId="0" applyFont="1" applyFill="1" applyBorder="1" applyAlignment="1">
      <alignment horizontal="center" vertical="center" shrinkToFit="1"/>
    </xf>
    <xf numFmtId="0" fontId="58" fillId="28" borderId="120" xfId="0" applyFont="1" applyFill="1" applyBorder="1" applyAlignment="1">
      <alignment horizontal="left" vertical="center" shrinkToFit="1"/>
    </xf>
    <xf numFmtId="0" fontId="24" fillId="0" borderId="120" xfId="0" applyNumberFormat="1" applyFont="1" applyFill="1" applyBorder="1" applyAlignment="1">
      <alignment horizontal="right" vertical="center" shrinkToFit="1"/>
    </xf>
    <xf numFmtId="10" fontId="24" fillId="0" borderId="120" xfId="0" applyNumberFormat="1" applyFont="1" applyFill="1" applyBorder="1" applyAlignment="1">
      <alignment horizontal="right" vertical="center" shrinkToFit="1"/>
    </xf>
    <xf numFmtId="177" fontId="24" fillId="0" borderId="120" xfId="0" applyNumberFormat="1" applyFont="1" applyFill="1" applyBorder="1" applyAlignment="1">
      <alignment horizontal="right" vertical="center"/>
    </xf>
    <xf numFmtId="177" fontId="24" fillId="0" borderId="120" xfId="0" applyNumberFormat="1" applyFont="1" applyFill="1" applyBorder="1" applyAlignment="1">
      <alignment horizontal="right" vertical="center" shrinkToFit="1"/>
    </xf>
    <xf numFmtId="177" fontId="24" fillId="0" borderId="263" xfId="0" applyNumberFormat="1" applyFont="1" applyFill="1" applyBorder="1" applyAlignment="1">
      <alignment horizontal="right" vertical="center" shrinkToFit="1"/>
    </xf>
    <xf numFmtId="0" fontId="24" fillId="0" borderId="226" xfId="0" applyFont="1" applyFill="1" applyBorder="1" applyAlignment="1">
      <alignment horizontal="right" vertical="center"/>
    </xf>
    <xf numFmtId="0" fontId="24" fillId="0" borderId="266" xfId="0" applyFont="1" applyFill="1" applyBorder="1" applyAlignment="1">
      <alignment horizontal="left" vertical="center"/>
    </xf>
    <xf numFmtId="0" fontId="24" fillId="0" borderId="266" xfId="0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/>
    </xf>
    <xf numFmtId="177" fontId="24" fillId="0" borderId="266" xfId="0" applyNumberFormat="1" applyFont="1" applyFill="1" applyBorder="1" applyAlignment="1">
      <alignment horizontal="right" vertical="center" shrinkToFit="1"/>
    </xf>
    <xf numFmtId="177" fontId="24" fillId="0" borderId="267" xfId="0" applyNumberFormat="1" applyFont="1" applyFill="1" applyBorder="1" applyAlignment="1">
      <alignment horizontal="right" vertical="center" shrinkToFit="1"/>
    </xf>
    <xf numFmtId="177" fontId="24" fillId="21" borderId="266" xfId="0" applyNumberFormat="1" applyFont="1" applyFill="1" applyBorder="1" applyAlignment="1">
      <alignment horizontal="right" vertical="center" shrinkToFit="1"/>
    </xf>
    <xf numFmtId="177" fontId="17" fillId="16" borderId="266" xfId="0" applyNumberFormat="1" applyFont="1" applyFill="1" applyBorder="1" applyAlignment="1">
      <alignment horizontal="right" vertical="center" shrinkToFit="1"/>
    </xf>
    <xf numFmtId="177" fontId="24" fillId="0" borderId="270" xfId="0" applyNumberFormat="1" applyFont="1" applyFill="1" applyBorder="1" applyAlignment="1">
      <alignment horizontal="right" vertical="center" shrinkToFit="1"/>
    </xf>
    <xf numFmtId="0" fontId="55" fillId="0" borderId="224" xfId="0" applyFont="1" applyBorder="1" applyAlignment="1">
      <alignment vertical="center"/>
    </xf>
    <xf numFmtId="0" fontId="17" fillId="0" borderId="225" xfId="0" applyFont="1" applyBorder="1" applyAlignment="1">
      <alignment vertical="center"/>
    </xf>
    <xf numFmtId="0" fontId="17" fillId="0" borderId="231" xfId="0" applyFont="1" applyBorder="1" applyAlignment="1">
      <alignment vertical="center"/>
    </xf>
    <xf numFmtId="0" fontId="17" fillId="0" borderId="231" xfId="0" applyFont="1" applyFill="1" applyBorder="1" applyAlignment="1">
      <alignment horizontal="right" vertical="center"/>
    </xf>
    <xf numFmtId="177" fontId="17" fillId="0" borderId="231" xfId="0" applyNumberFormat="1" applyFont="1" applyBorder="1" applyAlignment="1">
      <alignment vertical="center"/>
    </xf>
    <xf numFmtId="177" fontId="17" fillId="0" borderId="231" xfId="0" applyNumberFormat="1" applyFont="1" applyBorder="1" applyAlignment="1">
      <alignment vertical="center" shrinkToFit="1"/>
    </xf>
    <xf numFmtId="0" fontId="17" fillId="0" borderId="226" xfId="0" applyFont="1" applyBorder="1" applyAlignment="1">
      <alignment vertical="center"/>
    </xf>
    <xf numFmtId="0" fontId="24" fillId="0" borderId="273" xfId="0" applyNumberFormat="1" applyFont="1" applyFill="1" applyBorder="1" applyAlignment="1">
      <alignment horizontal="right" vertical="center" shrinkToFit="1"/>
    </xf>
    <xf numFmtId="10" fontId="24" fillId="0" borderId="273" xfId="0" quotePrefix="1" applyNumberFormat="1" applyFont="1" applyFill="1" applyBorder="1" applyAlignment="1">
      <alignment horizontal="right" vertical="center" shrinkToFit="1"/>
    </xf>
    <xf numFmtId="177" fontId="17" fillId="0" borderId="273" xfId="0" applyNumberFormat="1" applyFont="1" applyBorder="1" applyAlignment="1">
      <alignment vertical="center"/>
    </xf>
    <xf numFmtId="177" fontId="17" fillId="29" borderId="273" xfId="0" applyNumberFormat="1" applyFont="1" applyFill="1" applyBorder="1" applyAlignment="1">
      <alignment vertical="center" shrinkToFit="1"/>
    </xf>
    <xf numFmtId="177" fontId="17" fillId="29" borderId="274" xfId="0" applyNumberFormat="1" applyFont="1" applyFill="1" applyBorder="1" applyAlignment="1">
      <alignment vertical="center" shrinkToFit="1"/>
    </xf>
    <xf numFmtId="0" fontId="17" fillId="0" borderId="275" xfId="0" applyFont="1" applyBorder="1" applyAlignment="1">
      <alignment vertical="center"/>
    </xf>
    <xf numFmtId="0" fontId="17" fillId="0" borderId="276" xfId="0" applyFont="1" applyBorder="1" applyAlignment="1">
      <alignment vertical="center"/>
    </xf>
    <xf numFmtId="0" fontId="17" fillId="0" borderId="277" xfId="0" applyFont="1" applyBorder="1" applyAlignment="1">
      <alignment vertical="center"/>
    </xf>
    <xf numFmtId="0" fontId="17" fillId="0" borderId="277" xfId="0" applyFont="1" applyFill="1" applyBorder="1" applyAlignment="1">
      <alignment horizontal="right" vertical="center"/>
    </xf>
    <xf numFmtId="177" fontId="17" fillId="0" borderId="277" xfId="0" applyNumberFormat="1" applyFont="1" applyBorder="1" applyAlignment="1">
      <alignment vertical="center"/>
    </xf>
    <xf numFmtId="177" fontId="17" fillId="0" borderId="278" xfId="0" applyNumberFormat="1" applyFont="1" applyBorder="1" applyAlignment="1">
      <alignment vertical="center"/>
    </xf>
    <xf numFmtId="177" fontId="24" fillId="24" borderId="266" xfId="0" applyNumberFormat="1" applyFont="1" applyFill="1" applyBorder="1" applyAlignment="1">
      <alignment horizontal="right" vertical="center" shrinkToFit="1"/>
    </xf>
    <xf numFmtId="177" fontId="24" fillId="16" borderId="266" xfId="0" applyNumberFormat="1" applyFont="1" applyFill="1" applyBorder="1" applyAlignment="1">
      <alignment horizontal="right" vertical="center" shrinkToFit="1"/>
    </xf>
    <xf numFmtId="0" fontId="57" fillId="0" borderId="268" xfId="0" applyFont="1" applyBorder="1" applyAlignment="1">
      <alignment vertical="center"/>
    </xf>
    <xf numFmtId="0" fontId="17" fillId="0" borderId="279" xfId="0" applyFont="1" applyBorder="1" applyAlignment="1">
      <alignment vertical="center"/>
    </xf>
    <xf numFmtId="0" fontId="17" fillId="0" borderId="270" xfId="0" applyFont="1" applyBorder="1" applyAlignment="1">
      <alignment vertical="center"/>
    </xf>
    <xf numFmtId="0" fontId="17" fillId="0" borderId="270" xfId="0" applyFont="1" applyFill="1" applyBorder="1" applyAlignment="1">
      <alignment horizontal="right" vertical="center"/>
    </xf>
    <xf numFmtId="0" fontId="55" fillId="0" borderId="236" xfId="0" applyFont="1" applyBorder="1" applyAlignment="1">
      <alignment vertical="center"/>
    </xf>
    <xf numFmtId="0" fontId="59" fillId="0" borderId="237" xfId="0" applyFont="1" applyFill="1" applyBorder="1" applyAlignment="1">
      <alignment vertical="center" shrinkToFit="1"/>
    </xf>
    <xf numFmtId="0" fontId="24" fillId="0" borderId="237" xfId="0" applyFont="1" applyFill="1" applyBorder="1" applyAlignment="1">
      <alignment vertical="center" shrinkToFit="1"/>
    </xf>
    <xf numFmtId="191" fontId="24" fillId="0" borderId="238" xfId="0" applyNumberFormat="1" applyFont="1" applyFill="1" applyBorder="1" applyAlignment="1">
      <alignment horizontal="right" vertical="center" shrinkToFit="1"/>
    </xf>
    <xf numFmtId="10" fontId="24" fillId="0" borderId="238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Border="1" applyAlignment="1">
      <alignment vertical="center"/>
    </xf>
    <xf numFmtId="177" fontId="17" fillId="0" borderId="238" xfId="0" applyNumberFormat="1" applyFont="1" applyBorder="1" applyAlignment="1">
      <alignment vertical="center" shrinkToFit="1"/>
    </xf>
    <xf numFmtId="0" fontId="55" fillId="0" borderId="280" xfId="0" applyFont="1" applyBorder="1" applyAlignment="1">
      <alignment vertical="center"/>
    </xf>
    <xf numFmtId="0" fontId="17" fillId="0" borderId="281" xfId="0" applyFont="1" applyBorder="1" applyAlignment="1">
      <alignment vertical="center"/>
    </xf>
    <xf numFmtId="0" fontId="28" fillId="0" borderId="281" xfId="0" applyFont="1" applyBorder="1" applyAlignment="1">
      <alignment horizontal="right" vertical="center"/>
    </xf>
    <xf numFmtId="177" fontId="17" fillId="0" borderId="242" xfId="0" applyNumberFormat="1" applyFont="1" applyBorder="1" applyAlignment="1">
      <alignment vertical="center"/>
    </xf>
    <xf numFmtId="177" fontId="17" fillId="0" borderId="242" xfId="0" applyNumberFormat="1" applyFont="1" applyBorder="1" applyAlignment="1">
      <alignment vertical="center" shrinkToFit="1"/>
    </xf>
    <xf numFmtId="177" fontId="17" fillId="0" borderId="282" xfId="0" applyNumberFormat="1" applyFont="1" applyBorder="1" applyAlignment="1">
      <alignment vertical="center" shrinkToFit="1"/>
    </xf>
    <xf numFmtId="0" fontId="60" fillId="0" borderId="226" xfId="0" applyFont="1" applyBorder="1" applyAlignment="1">
      <alignment vertical="center"/>
    </xf>
    <xf numFmtId="0" fontId="17" fillId="0" borderId="82" xfId="0" applyFont="1" applyBorder="1" applyAlignment="1">
      <alignment vertical="center"/>
    </xf>
    <xf numFmtId="177" fontId="17" fillId="0" borderId="82" xfId="0" applyNumberFormat="1" applyFont="1" applyBorder="1" applyAlignment="1">
      <alignment vertical="center"/>
    </xf>
    <xf numFmtId="177" fontId="17" fillId="0" borderId="82" xfId="0" applyNumberFormat="1" applyFont="1" applyBorder="1" applyAlignment="1">
      <alignment vertical="center" shrinkToFit="1"/>
    </xf>
    <xf numFmtId="177" fontId="17" fillId="0" borderId="200" xfId="0" applyNumberFormat="1" applyFont="1" applyBorder="1" applyAlignment="1">
      <alignment vertical="center" shrinkToFit="1"/>
    </xf>
    <xf numFmtId="0" fontId="17" fillId="0" borderId="283" xfId="0" applyFont="1" applyBorder="1" applyAlignment="1">
      <alignment vertical="center"/>
    </xf>
    <xf numFmtId="0" fontId="17" fillId="0" borderId="85" xfId="0" applyFont="1" applyBorder="1" applyAlignment="1">
      <alignment vertical="center"/>
    </xf>
    <xf numFmtId="177" fontId="17" fillId="0" borderId="85" xfId="0" applyNumberFormat="1" applyFont="1" applyBorder="1" applyAlignment="1">
      <alignment vertical="center"/>
    </xf>
    <xf numFmtId="177" fontId="17" fillId="0" borderId="85" xfId="0" applyNumberFormat="1" applyFont="1" applyBorder="1" applyAlignment="1">
      <alignment vertical="center" shrinkToFit="1"/>
    </xf>
    <xf numFmtId="177" fontId="17" fillId="0" borderId="98" xfId="0" applyNumberFormat="1" applyFont="1" applyBorder="1" applyAlignment="1">
      <alignment vertical="center" shrinkToFit="1"/>
    </xf>
    <xf numFmtId="0" fontId="50" fillId="0" borderId="0" xfId="0" applyFont="1" applyFill="1" applyBorder="1" applyAlignment="1">
      <alignment horizontal="right"/>
    </xf>
    <xf numFmtId="0" fontId="50" fillId="0" borderId="0" xfId="0" applyFont="1" applyFill="1" applyBorder="1" applyAlignment="1">
      <alignment horizontal="center"/>
    </xf>
    <xf numFmtId="0" fontId="61" fillId="0" borderId="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right"/>
    </xf>
    <xf numFmtId="0" fontId="63" fillId="0" borderId="0" xfId="0" applyFont="1" applyFill="1" applyBorder="1" applyAlignment="1">
      <alignment horizontal="left"/>
    </xf>
    <xf numFmtId="0" fontId="64" fillId="0" borderId="0" xfId="0" applyFont="1" applyFill="1" applyBorder="1" applyAlignment="1">
      <alignment horizontal="center"/>
    </xf>
    <xf numFmtId="0" fontId="64" fillId="0" borderId="0" xfId="0" applyFont="1" applyFill="1" applyBorder="1" applyAlignment="1">
      <alignment horizontal="left"/>
    </xf>
    <xf numFmtId="0" fontId="61" fillId="0" borderId="0" xfId="0" applyFont="1" applyFill="1" applyBorder="1" applyAlignment="1">
      <alignment horizontal="right" shrinkToFit="1"/>
    </xf>
    <xf numFmtId="0" fontId="9" fillId="0" borderId="258" xfId="0" applyFont="1" applyFill="1" applyBorder="1" applyAlignment="1">
      <alignment horizontal="right"/>
    </xf>
    <xf numFmtId="0" fontId="63" fillId="0" borderId="0" xfId="0" applyFont="1" applyFill="1" applyBorder="1" applyAlignment="1">
      <alignment horizontal="distributed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0" fontId="9" fillId="0" borderId="12" xfId="0" applyFont="1" applyFill="1" applyBorder="1" applyAlignment="1">
      <alignment horizontal="center" shrinkToFit="1"/>
    </xf>
    <xf numFmtId="0" fontId="9" fillId="0" borderId="226" xfId="0" applyFont="1" applyFill="1" applyBorder="1" applyAlignment="1">
      <alignment horizontal="right" shrinkToFit="1"/>
    </xf>
    <xf numFmtId="0" fontId="9" fillId="0" borderId="0" xfId="0" applyFont="1" applyFill="1" applyBorder="1" applyAlignment="1">
      <alignment horizontal="right" shrinkToFit="1"/>
    </xf>
    <xf numFmtId="38" fontId="9" fillId="0" borderId="258" xfId="0" applyNumberFormat="1" applyFont="1" applyFill="1" applyBorder="1" applyAlignment="1">
      <alignment horizontal="center" vertical="center" shrinkToFit="1"/>
    </xf>
    <xf numFmtId="190" fontId="4" fillId="23" borderId="82" xfId="0" applyNumberFormat="1" applyFont="1" applyFill="1" applyBorder="1" applyAlignment="1">
      <alignment horizontal="center" shrinkToFit="1"/>
    </xf>
    <xf numFmtId="190" fontId="4" fillId="23" borderId="200" xfId="0" applyNumberFormat="1" applyFont="1" applyFill="1" applyBorder="1" applyAlignment="1">
      <alignment horizontal="center" shrinkToFit="1"/>
    </xf>
    <xf numFmtId="190" fontId="4" fillId="23" borderId="95" xfId="0" applyNumberFormat="1" applyFont="1" applyFill="1" applyBorder="1" applyAlignment="1">
      <alignment horizontal="center" shrinkToFit="1"/>
    </xf>
    <xf numFmtId="190" fontId="4" fillId="23" borderId="31" xfId="0" applyNumberFormat="1" applyFont="1" applyFill="1" applyBorder="1" applyAlignment="1">
      <alignment horizontal="center" shrinkToFit="1"/>
    </xf>
    <xf numFmtId="0" fontId="4" fillId="23" borderId="121" xfId="0" applyFont="1" applyFill="1" applyBorder="1" applyAlignment="1">
      <alignment horizontal="center"/>
    </xf>
    <xf numFmtId="0" fontId="9" fillId="0" borderId="121" xfId="0" applyFont="1" applyFill="1" applyBorder="1" applyAlignment="1">
      <alignment horizontal="center"/>
    </xf>
    <xf numFmtId="0" fontId="4" fillId="28" borderId="120" xfId="0" applyFont="1" applyFill="1" applyBorder="1" applyAlignment="1">
      <alignment horizontal="center" shrinkToFit="1"/>
    </xf>
    <xf numFmtId="0" fontId="4" fillId="28" borderId="204" xfId="0" applyFont="1" applyFill="1" applyBorder="1" applyAlignment="1">
      <alignment horizontal="center" shrinkToFit="1"/>
    </xf>
    <xf numFmtId="0" fontId="65" fillId="0" borderId="95" xfId="0" applyFont="1" applyFill="1" applyBorder="1" applyAlignment="1"/>
    <xf numFmtId="0" fontId="9" fillId="0" borderId="95" xfId="0" applyFont="1" applyFill="1" applyBorder="1" applyAlignment="1">
      <alignment horizontal="center" shrinkToFit="1"/>
    </xf>
    <xf numFmtId="0" fontId="9" fillId="0" borderId="99" xfId="0" applyFont="1" applyFill="1" applyBorder="1" applyAlignment="1">
      <alignment horizontal="center" shrinkToFit="1"/>
    </xf>
    <xf numFmtId="38" fontId="4" fillId="11" borderId="23" xfId="0" applyNumberFormat="1" applyFont="1" applyFill="1" applyBorder="1" applyAlignment="1">
      <alignment horizontal="center" shrinkToFit="1"/>
    </xf>
    <xf numFmtId="38" fontId="4" fillId="11" borderId="31" xfId="0" applyNumberFormat="1" applyFont="1" applyFill="1" applyBorder="1" applyAlignment="1">
      <alignment horizontal="center" shrinkToFit="1"/>
    </xf>
    <xf numFmtId="38" fontId="9" fillId="23" borderId="82" xfId="0" applyNumberFormat="1" applyFont="1" applyFill="1" applyBorder="1" applyAlignment="1">
      <alignment horizontal="right" shrinkToFit="1"/>
    </xf>
    <xf numFmtId="38" fontId="9" fillId="23" borderId="20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/>
    <xf numFmtId="38" fontId="4" fillId="0" borderId="23" xfId="0" applyNumberFormat="1" applyFont="1" applyFill="1" applyBorder="1" applyAlignment="1">
      <alignment horizontal="right"/>
    </xf>
    <xf numFmtId="38" fontId="9" fillId="23" borderId="23" xfId="0" applyNumberFormat="1" applyFont="1" applyFill="1" applyBorder="1" applyAlignment="1">
      <alignment horizontal="right" shrinkToFit="1"/>
    </xf>
    <xf numFmtId="38" fontId="9" fillId="23" borderId="31" xfId="0" applyNumberFormat="1" applyFont="1" applyFill="1" applyBorder="1" applyAlignment="1">
      <alignment horizontal="right" shrinkToFit="1"/>
    </xf>
    <xf numFmtId="38" fontId="9" fillId="23" borderId="121" xfId="0" applyNumberFormat="1" applyFont="1" applyFill="1" applyBorder="1" applyAlignment="1">
      <alignment horizontal="right" shrinkToFit="1"/>
    </xf>
    <xf numFmtId="38" fontId="9" fillId="23" borderId="204" xfId="0" applyNumberFormat="1" applyFont="1" applyFill="1" applyBorder="1" applyAlignment="1">
      <alignment horizontal="right" shrinkToFit="1"/>
    </xf>
    <xf numFmtId="0" fontId="4" fillId="0" borderId="283" xfId="0" applyFont="1" applyFill="1" applyBorder="1" applyAlignment="1">
      <alignment horizontal="right"/>
    </xf>
    <xf numFmtId="0" fontId="4" fillId="0" borderId="258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center"/>
    </xf>
    <xf numFmtId="0" fontId="4" fillId="0" borderId="176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right" shrinkToFit="1"/>
    </xf>
    <xf numFmtId="38" fontId="9" fillId="0" borderId="98" xfId="0" applyNumberFormat="1" applyFont="1" applyFill="1" applyBorder="1" applyAlignment="1">
      <alignment horizontal="right" shrinkToFit="1"/>
    </xf>
    <xf numFmtId="38" fontId="9" fillId="0" borderId="121" xfId="0" applyNumberFormat="1" applyFont="1" applyFill="1" applyBorder="1" applyAlignment="1">
      <alignment horizontal="right" shrinkToFit="1"/>
    </xf>
    <xf numFmtId="38" fontId="9" fillId="0" borderId="204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 shrinkToFit="1"/>
    </xf>
    <xf numFmtId="38" fontId="9" fillId="0" borderId="200" xfId="0" applyNumberFormat="1" applyFont="1" applyFill="1" applyBorder="1" applyAlignment="1">
      <alignment horizontal="right" shrinkToFit="1"/>
    </xf>
    <xf numFmtId="0" fontId="4" fillId="0" borderId="141" xfId="0" applyFont="1" applyFill="1" applyBorder="1" applyAlignment="1">
      <alignment horizontal="left"/>
    </xf>
    <xf numFmtId="38" fontId="4" fillId="0" borderId="95" xfId="0" applyNumberFormat="1" applyFont="1" applyFill="1" applyBorder="1" applyAlignment="1">
      <alignment horizontal="right" shrinkToFit="1"/>
    </xf>
    <xf numFmtId="38" fontId="4" fillId="0" borderId="99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right"/>
    </xf>
    <xf numFmtId="38" fontId="4" fillId="0" borderId="0" xfId="0" applyNumberFormat="1" applyFont="1" applyFill="1" applyBorder="1" applyAlignment="1">
      <alignment horizontal="right"/>
    </xf>
    <xf numFmtId="0" fontId="4" fillId="0" borderId="14" xfId="0" applyFont="1" applyFill="1" applyBorder="1" applyAlignment="1">
      <alignment horizontal="right"/>
    </xf>
    <xf numFmtId="0" fontId="4" fillId="0" borderId="151" xfId="0" applyFont="1" applyFill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0" fontId="44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shrinkToFit="1"/>
    </xf>
    <xf numFmtId="0" fontId="9" fillId="0" borderId="0" xfId="0" applyFont="1" applyFill="1" applyBorder="1" applyAlignment="1"/>
    <xf numFmtId="0" fontId="4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 shrinkToFit="1"/>
    </xf>
    <xf numFmtId="0" fontId="9" fillId="0" borderId="232" xfId="0" applyFont="1" applyFill="1" applyBorder="1" applyAlignment="1">
      <alignment horizontal="center" shrinkToFit="1"/>
    </xf>
    <xf numFmtId="177" fontId="24" fillId="30" borderId="23" xfId="0" applyNumberFormat="1" applyFont="1" applyFill="1" applyBorder="1" applyAlignment="1">
      <alignment horizontal="right" vertical="center" shrinkToFit="1"/>
    </xf>
    <xf numFmtId="177" fontId="24" fillId="30" borderId="31" xfId="0" applyNumberFormat="1" applyFont="1" applyFill="1" applyBorder="1" applyAlignment="1">
      <alignment horizontal="right" vertical="center" shrinkToFit="1"/>
    </xf>
    <xf numFmtId="38" fontId="9" fillId="23" borderId="85" xfId="0" applyNumberFormat="1" applyFont="1" applyFill="1" applyBorder="1" applyAlignment="1">
      <alignment horizontal="right" shrinkToFit="1"/>
    </xf>
    <xf numFmtId="38" fontId="9" fillId="23" borderId="98" xfId="0" applyNumberFormat="1" applyFont="1" applyFill="1" applyBorder="1" applyAlignment="1">
      <alignment horizontal="right" shrinkToFit="1"/>
    </xf>
    <xf numFmtId="0" fontId="44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shrinkToFit="1"/>
    </xf>
    <xf numFmtId="38" fontId="9" fillId="0" borderId="89" xfId="0" applyNumberFormat="1" applyFont="1" applyFill="1" applyBorder="1" applyAlignment="1">
      <alignment horizontal="right"/>
    </xf>
    <xf numFmtId="38" fontId="9" fillId="0" borderId="89" xfId="0" applyNumberFormat="1" applyFont="1" applyFill="1" applyBorder="1" applyAlignment="1">
      <alignment horizontal="right" shrinkToFit="1"/>
    </xf>
    <xf numFmtId="38" fontId="9" fillId="0" borderId="100" xfId="0" applyNumberFormat="1" applyFont="1" applyFill="1" applyBorder="1" applyAlignment="1">
      <alignment horizontal="right" shrinkToFit="1"/>
    </xf>
    <xf numFmtId="0" fontId="4" fillId="0" borderId="83" xfId="0" applyFont="1" applyFill="1" applyBorder="1" applyAlignment="1"/>
    <xf numFmtId="0" fontId="4" fillId="0" borderId="233" xfId="0" applyFont="1" applyFill="1" applyBorder="1" applyAlignment="1"/>
    <xf numFmtId="0" fontId="4" fillId="0" borderId="231" xfId="0" applyFont="1" applyFill="1" applyBorder="1" applyAlignment="1">
      <alignment horizontal="center" shrinkToFit="1"/>
    </xf>
    <xf numFmtId="10" fontId="4" fillId="0" borderId="231" xfId="0" applyNumberFormat="1" applyFont="1" applyFill="1" applyBorder="1" applyAlignment="1">
      <alignment horizontal="right" shrinkToFit="1"/>
    </xf>
    <xf numFmtId="38" fontId="9" fillId="0" borderId="231" xfId="0" applyNumberFormat="1" applyFont="1" applyFill="1" applyBorder="1" applyAlignment="1">
      <alignment horizontal="right"/>
    </xf>
    <xf numFmtId="38" fontId="9" fillId="0" borderId="231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 shrinkToFit="1"/>
    </xf>
    <xf numFmtId="192" fontId="4" fillId="0" borderId="23" xfId="0" applyNumberFormat="1" applyFont="1" applyFill="1" applyBorder="1" applyAlignment="1">
      <alignment horizontal="right" shrinkToFit="1"/>
    </xf>
    <xf numFmtId="10" fontId="4" fillId="0" borderId="23" xfId="0" quotePrefix="1" applyNumberFormat="1" applyFont="1" applyFill="1" applyBorder="1" applyAlignment="1">
      <alignment horizontal="center" shrinkToFit="1"/>
    </xf>
    <xf numFmtId="10" fontId="4" fillId="0" borderId="23" xfId="0" applyNumberFormat="1" applyFont="1" applyFill="1" applyBorder="1" applyAlignment="1">
      <alignment horizontal="right" shrinkToFit="1"/>
    </xf>
    <xf numFmtId="0" fontId="4" fillId="0" borderId="23" xfId="0" quotePrefix="1" applyFont="1" applyFill="1" applyBorder="1" applyAlignment="1">
      <alignment horizontal="left" shrinkToFit="1"/>
    </xf>
    <xf numFmtId="0" fontId="4" fillId="0" borderId="203" xfId="0" applyFont="1" applyFill="1" applyBorder="1" applyAlignment="1">
      <alignment horizontal="center" vertical="center" shrinkToFit="1"/>
    </xf>
    <xf numFmtId="49" fontId="50" fillId="0" borderId="85" xfId="0" applyNumberFormat="1" applyFont="1" applyFill="1" applyBorder="1" applyAlignment="1">
      <alignment horizontal="left" shrinkToFit="1"/>
    </xf>
    <xf numFmtId="192" fontId="4" fillId="0" borderId="85" xfId="0" applyNumberFormat="1" applyFont="1" applyFill="1" applyBorder="1" applyAlignment="1">
      <alignment horizontal="right" shrinkToFit="1"/>
    </xf>
    <xf numFmtId="10" fontId="4" fillId="0" borderId="85" xfId="0" applyNumberFormat="1" applyFont="1" applyFill="1" applyBorder="1" applyAlignment="1">
      <alignment horizontal="right" shrinkToFit="1"/>
    </xf>
    <xf numFmtId="0" fontId="4" fillId="0" borderId="224" xfId="0" applyFont="1" applyFill="1" applyBorder="1" applyAlignment="1">
      <alignment horizontal="center" shrinkToFit="1"/>
    </xf>
    <xf numFmtId="0" fontId="4" fillId="0" borderId="225" xfId="0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 shrinkToFit="1"/>
    </xf>
    <xf numFmtId="38" fontId="9" fillId="0" borderId="232" xfId="0" applyNumberFormat="1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left" shrinkToFit="1"/>
    </xf>
    <xf numFmtId="192" fontId="4" fillId="0" borderId="231" xfId="0" applyNumberFormat="1" applyFont="1" applyFill="1" applyBorder="1" applyAlignment="1">
      <alignment vertical="center" shrinkToFit="1"/>
    </xf>
    <xf numFmtId="10" fontId="4" fillId="0" borderId="82" xfId="0" applyNumberFormat="1" applyFont="1" applyFill="1" applyBorder="1" applyAlignment="1">
      <alignment horizontal="center" vertical="center"/>
    </xf>
    <xf numFmtId="38" fontId="17" fillId="0" borderId="82" xfId="0" applyNumberFormat="1" applyFont="1" applyFill="1" applyBorder="1" applyAlignment="1">
      <alignment horizontal="right"/>
    </xf>
    <xf numFmtId="10" fontId="4" fillId="0" borderId="82" xfId="0" applyNumberFormat="1" applyFont="1" applyFill="1" applyBorder="1" applyAlignment="1">
      <alignment horizontal="left" vertical="center" shrinkToFit="1"/>
    </xf>
    <xf numFmtId="10" fontId="4" fillId="0" borderId="200" xfId="0" applyNumberFormat="1" applyFont="1" applyFill="1" applyBorder="1" applyAlignment="1">
      <alignment horizontal="left" vertical="center" shrinkToFit="1"/>
    </xf>
    <xf numFmtId="0" fontId="4" fillId="0" borderId="95" xfId="0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vertical="top" shrinkToFit="1"/>
    </xf>
    <xf numFmtId="10" fontId="4" fillId="0" borderId="23" xfId="0" applyNumberFormat="1" applyFont="1" applyFill="1" applyBorder="1" applyAlignment="1">
      <alignment horizontal="center" vertical="center"/>
    </xf>
    <xf numFmtId="0" fontId="4" fillId="0" borderId="120" xfId="0" applyFont="1" applyFill="1" applyBorder="1" applyAlignment="1">
      <alignment horizontal="left" shrinkToFit="1"/>
    </xf>
    <xf numFmtId="0" fontId="4" fillId="0" borderId="139" xfId="0" applyFont="1" applyFill="1" applyBorder="1" applyAlignment="1"/>
    <xf numFmtId="38" fontId="17" fillId="0" borderId="23" xfId="0" applyNumberFormat="1" applyFont="1" applyFill="1" applyBorder="1" applyAlignment="1">
      <alignment horizontal="right"/>
    </xf>
    <xf numFmtId="10" fontId="4" fillId="0" borderId="23" xfId="0" applyNumberFormat="1" applyFont="1" applyFill="1" applyBorder="1" applyAlignment="1">
      <alignment horizontal="left" shrinkToFit="1"/>
    </xf>
    <xf numFmtId="10" fontId="4" fillId="0" borderId="31" xfId="0" applyNumberFormat="1" applyFont="1" applyFill="1" applyBorder="1" applyAlignment="1">
      <alignment horizontal="left" shrinkToFit="1"/>
    </xf>
    <xf numFmtId="192" fontId="4" fillId="0" borderId="95" xfId="0" applyNumberFormat="1" applyFont="1" applyFill="1" applyBorder="1" applyAlignment="1">
      <alignment shrinkToFit="1"/>
    </xf>
    <xf numFmtId="192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left" vertical="center" shrinkToFit="1"/>
    </xf>
    <xf numFmtId="0" fontId="4" fillId="0" borderId="288" xfId="0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left" shrinkToFit="1"/>
    </xf>
    <xf numFmtId="192" fontId="4" fillId="0" borderId="289" xfId="0" applyNumberFormat="1" applyFont="1" applyFill="1" applyBorder="1" applyAlignment="1">
      <alignment shrinkToFit="1"/>
    </xf>
    <xf numFmtId="10" fontId="4" fillId="0" borderId="289" xfId="0" applyNumberFormat="1" applyFont="1" applyFill="1" applyBorder="1" applyAlignment="1">
      <alignment horizontal="right" shrinkToFit="1"/>
    </xf>
    <xf numFmtId="38" fontId="9" fillId="0" borderId="289" xfId="0" applyNumberFormat="1" applyFont="1" applyFill="1" applyBorder="1" applyAlignment="1">
      <alignment horizontal="right"/>
    </xf>
    <xf numFmtId="0" fontId="4" fillId="0" borderId="240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 shrinkToFit="1"/>
    </xf>
    <xf numFmtId="38" fontId="9" fillId="0" borderId="243" xfId="0" applyNumberFormat="1" applyFont="1" applyFill="1" applyBorder="1" applyAlignment="1">
      <alignment horizontal="right" shrinkToFit="1"/>
    </xf>
    <xf numFmtId="38" fontId="9" fillId="0" borderId="0" xfId="0" applyNumberFormat="1" applyFont="1" applyFill="1" applyBorder="1" applyAlignment="1">
      <alignment horizontal="right"/>
    </xf>
    <xf numFmtId="0" fontId="4" fillId="0" borderId="85" xfId="0" applyFont="1" applyFill="1" applyBorder="1" applyAlignment="1">
      <alignment horizontal="left" shrinkToFit="1"/>
    </xf>
    <xf numFmtId="10" fontId="4" fillId="0" borderId="23" xfId="2" applyNumberFormat="1" applyFont="1" applyFill="1" applyBorder="1" applyAlignment="1">
      <alignment horizontal="left" shrinkToFit="1"/>
    </xf>
    <xf numFmtId="192" fontId="4" fillId="0" borderId="120" xfId="0" applyNumberFormat="1" applyFont="1" applyFill="1" applyBorder="1" applyAlignment="1">
      <alignment shrinkToFit="1"/>
    </xf>
    <xf numFmtId="10" fontId="4" fillId="0" borderId="120" xfId="0" applyNumberFormat="1" applyFont="1" applyFill="1" applyBorder="1" applyAlignment="1">
      <alignment horizontal="right" shrinkToFit="1"/>
    </xf>
    <xf numFmtId="38" fontId="9" fillId="29" borderId="23" xfId="0" applyNumberFormat="1" applyFont="1" applyFill="1" applyBorder="1" applyAlignment="1">
      <alignment horizontal="right" shrinkToFit="1"/>
    </xf>
    <xf numFmtId="38" fontId="9" fillId="29" borderId="31" xfId="0" applyNumberFormat="1" applyFont="1" applyFill="1" applyBorder="1" applyAlignment="1">
      <alignment horizontal="right" shrinkToFit="1"/>
    </xf>
    <xf numFmtId="0" fontId="28" fillId="0" borderId="23" xfId="0" applyFont="1" applyFill="1" applyBorder="1" applyAlignment="1">
      <alignment horizontal="left" shrinkToFit="1"/>
    </xf>
    <xf numFmtId="0" fontId="4" fillId="0" borderId="201" xfId="0" applyFont="1" applyFill="1" applyBorder="1" applyAlignment="1">
      <alignment horizontal="center" vertical="center" shrinkToFit="1"/>
    </xf>
    <xf numFmtId="38" fontId="4" fillId="0" borderId="290" xfId="0" applyNumberFormat="1" applyFont="1" applyFill="1" applyBorder="1" applyAlignment="1">
      <alignment horizontal="right" shrinkToFit="1"/>
    </xf>
    <xf numFmtId="0" fontId="4" fillId="0" borderId="291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left"/>
    </xf>
    <xf numFmtId="0" fontId="4" fillId="0" borderId="292" xfId="0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/>
    </xf>
    <xf numFmtId="38" fontId="9" fillId="0" borderId="292" xfId="0" applyNumberFormat="1" applyFont="1" applyFill="1" applyBorder="1" applyAlignment="1">
      <alignment horizontal="right" shrinkToFit="1"/>
    </xf>
    <xf numFmtId="38" fontId="9" fillId="0" borderId="293" xfId="0" applyNumberFormat="1" applyFont="1" applyFill="1" applyBorder="1" applyAlignment="1">
      <alignment horizontal="right" shrinkToFit="1"/>
    </xf>
    <xf numFmtId="0" fontId="4" fillId="0" borderId="175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right"/>
    </xf>
    <xf numFmtId="0" fontId="4" fillId="0" borderId="85" xfId="0" applyFont="1" applyFill="1" applyBorder="1" applyAlignment="1">
      <alignment horizontal="left"/>
    </xf>
    <xf numFmtId="0" fontId="9" fillId="0" borderId="258" xfId="0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center" wrapText="1"/>
    </xf>
    <xf numFmtId="0" fontId="10" fillId="0" borderId="89" xfId="0" applyFont="1" applyFill="1" applyBorder="1" applyAlignment="1">
      <alignment horizontal="center" wrapText="1"/>
    </xf>
    <xf numFmtId="0" fontId="4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center" shrinkToFit="1"/>
    </xf>
    <xf numFmtId="0" fontId="9" fillId="0" borderId="100" xfId="0" applyFont="1" applyFill="1" applyBorder="1" applyAlignment="1">
      <alignment horizontal="center" shrinkToFit="1"/>
    </xf>
    <xf numFmtId="0" fontId="4" fillId="0" borderId="177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right"/>
    </xf>
    <xf numFmtId="0" fontId="4" fillId="0" borderId="233" xfId="0" applyFont="1" applyFill="1" applyBorder="1" applyAlignment="1">
      <alignment horizontal="left"/>
    </xf>
    <xf numFmtId="0" fontId="4" fillId="0" borderId="82" xfId="0" applyFont="1" applyFill="1" applyBorder="1" applyAlignment="1">
      <alignment horizontal="left"/>
    </xf>
    <xf numFmtId="0" fontId="4" fillId="0" borderId="83" xfId="0" applyFont="1" applyFill="1" applyBorder="1" applyAlignment="1">
      <alignment horizontal="center"/>
    </xf>
    <xf numFmtId="38" fontId="9" fillId="0" borderId="184" xfId="0" applyNumberFormat="1" applyFont="1" applyFill="1" applyBorder="1" applyAlignment="1">
      <alignment horizontal="right"/>
    </xf>
    <xf numFmtId="38" fontId="9" fillId="0" borderId="233" xfId="0" applyNumberFormat="1" applyFont="1" applyFill="1" applyBorder="1" applyAlignment="1">
      <alignment horizontal="right"/>
    </xf>
    <xf numFmtId="38" fontId="9" fillId="0" borderId="200" xfId="0" applyNumberFormat="1" applyFont="1" applyFill="1" applyBorder="1" applyAlignment="1">
      <alignment horizontal="right"/>
    </xf>
    <xf numFmtId="0" fontId="4" fillId="0" borderId="228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center"/>
    </xf>
    <xf numFmtId="38" fontId="9" fillId="0" borderId="204" xfId="0" applyNumberFormat="1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/>
    </xf>
    <xf numFmtId="0" fontId="44" fillId="0" borderId="89" xfId="0" applyFont="1" applyFill="1" applyBorder="1" applyAlignment="1">
      <alignment horizontal="left"/>
    </xf>
    <xf numFmtId="0" fontId="4" fillId="0" borderId="85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 shrinkToFit="1"/>
    </xf>
    <xf numFmtId="0" fontId="4" fillId="0" borderId="82" xfId="0" applyFont="1" applyFill="1" applyBorder="1" applyAlignment="1">
      <alignment horizontal="left" shrinkToFit="1"/>
    </xf>
    <xf numFmtId="0" fontId="4" fillId="0" borderId="82" xfId="0" applyFont="1" applyFill="1" applyBorder="1" applyAlignment="1">
      <alignment shrinkToFit="1"/>
    </xf>
    <xf numFmtId="10" fontId="4" fillId="0" borderId="82" xfId="0" quotePrefix="1" applyNumberFormat="1" applyFont="1" applyFill="1" applyBorder="1" applyAlignment="1">
      <alignment horizontal="right" shrinkToFit="1"/>
    </xf>
    <xf numFmtId="0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right" shrinkToFit="1"/>
    </xf>
    <xf numFmtId="0" fontId="4" fillId="0" borderId="23" xfId="0" applyFont="1" applyFill="1" applyBorder="1" applyAlignment="1">
      <alignment shrinkToFit="1"/>
    </xf>
    <xf numFmtId="9" fontId="4" fillId="0" borderId="23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left"/>
    </xf>
    <xf numFmtId="9" fontId="4" fillId="0" borderId="85" xfId="0" applyNumberFormat="1" applyFont="1" applyFill="1" applyBorder="1" applyAlignment="1">
      <alignment horizontal="right" shrinkToFit="1"/>
    </xf>
    <xf numFmtId="0" fontId="4" fillId="0" borderId="229" xfId="0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 shrinkToFit="1"/>
    </xf>
    <xf numFmtId="0" fontId="4" fillId="0" borderId="82" xfId="0" applyFont="1" applyFill="1" applyBorder="1" applyAlignment="1">
      <alignment horizontal="right" shrinkToFit="1"/>
    </xf>
    <xf numFmtId="0" fontId="44" fillId="0" borderId="89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 shrinkToFit="1"/>
    </xf>
    <xf numFmtId="38" fontId="65" fillId="0" borderId="85" xfId="0" applyNumberFormat="1" applyFont="1" applyFill="1" applyBorder="1" applyAlignment="1">
      <alignment horizontal="right" shrinkToFit="1"/>
    </xf>
    <xf numFmtId="0" fontId="4" fillId="0" borderId="95" xfId="0" applyFont="1" applyFill="1" applyBorder="1" applyAlignment="1">
      <alignment horizontal="center" shrinkToFit="1"/>
    </xf>
    <xf numFmtId="10" fontId="4" fillId="0" borderId="82" xfId="0" applyNumberFormat="1" applyFont="1" applyFill="1" applyBorder="1" applyAlignment="1">
      <alignment horizontal="right" shrinkToFit="1"/>
    </xf>
    <xf numFmtId="0" fontId="4" fillId="0" borderId="149" xfId="0" applyFont="1" applyFill="1" applyBorder="1" applyAlignment="1">
      <alignment horizontal="right"/>
    </xf>
    <xf numFmtId="192" fontId="4" fillId="0" borderId="121" xfId="0" applyNumberFormat="1" applyFont="1" applyFill="1" applyBorder="1" applyAlignment="1">
      <alignment shrinkToFit="1"/>
    </xf>
    <xf numFmtId="10" fontId="4" fillId="0" borderId="121" xfId="0" applyNumberFormat="1" applyFont="1" applyFill="1" applyBorder="1" applyAlignment="1">
      <alignment horizontal="right" shrinkToFit="1"/>
    </xf>
    <xf numFmtId="38" fontId="4" fillId="0" borderId="95" xfId="0" applyNumberFormat="1" applyFont="1" applyFill="1" applyBorder="1" applyAlignment="1">
      <alignment horizontal="right"/>
    </xf>
    <xf numFmtId="38" fontId="9" fillId="29" borderId="95" xfId="0" applyNumberFormat="1" applyFont="1" applyFill="1" applyBorder="1" applyAlignment="1">
      <alignment horizontal="right" shrinkToFit="1"/>
    </xf>
    <xf numFmtId="38" fontId="9" fillId="29" borderId="99" xfId="0" applyNumberFormat="1" applyFont="1" applyFill="1" applyBorder="1" applyAlignment="1">
      <alignment horizontal="right" shrinkToFit="1"/>
    </xf>
    <xf numFmtId="0" fontId="58" fillId="0" borderId="23" xfId="0" applyFont="1" applyFill="1" applyBorder="1" applyAlignment="1">
      <alignment horizontal="left" shrinkToFit="1"/>
    </xf>
    <xf numFmtId="0" fontId="4" fillId="0" borderId="115" xfId="0" applyFont="1" applyFill="1" applyBorder="1" applyAlignment="1">
      <alignment horizontal="right"/>
    </xf>
    <xf numFmtId="0" fontId="4" fillId="0" borderId="294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left"/>
    </xf>
    <xf numFmtId="0" fontId="4" fillId="0" borderId="289" xfId="0" applyFont="1" applyFill="1" applyBorder="1" applyAlignment="1">
      <alignment horizontal="right"/>
    </xf>
    <xf numFmtId="38" fontId="9" fillId="0" borderId="289" xfId="0" applyNumberFormat="1" applyFont="1" applyFill="1" applyBorder="1" applyAlignment="1">
      <alignment horizontal="right" shrinkToFit="1"/>
    </xf>
    <xf numFmtId="38" fontId="9" fillId="0" borderId="33" xfId="0" applyNumberFormat="1" applyFont="1" applyFill="1" applyBorder="1" applyAlignment="1">
      <alignment horizontal="right" shrinkToFit="1"/>
    </xf>
    <xf numFmtId="176" fontId="9" fillId="0" borderId="121" xfId="0" applyNumberFormat="1" applyFont="1" applyFill="1" applyBorder="1" applyAlignment="1">
      <alignment horizontal="right" shrinkToFit="1"/>
    </xf>
    <xf numFmtId="176" fontId="9" fillId="0" borderId="296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>
      <alignment shrinkToFit="1"/>
    </xf>
    <xf numFmtId="38" fontId="4" fillId="0" borderId="23" xfId="0" applyNumberFormat="1" applyFont="1" applyFill="1" applyBorder="1" applyAlignment="1">
      <alignment shrinkToFit="1"/>
    </xf>
    <xf numFmtId="38" fontId="4" fillId="0" borderId="31" xfId="0" applyNumberFormat="1" applyFont="1" applyFill="1" applyBorder="1" applyAlignment="1">
      <alignment shrinkToFit="1"/>
    </xf>
    <xf numFmtId="0" fontId="4" fillId="0" borderId="115" xfId="0" applyFont="1" applyFill="1" applyBorder="1" applyAlignment="1"/>
    <xf numFmtId="0" fontId="4" fillId="0" borderId="23" xfId="0" applyFont="1" applyFill="1" applyBorder="1" applyAlignment="1"/>
    <xf numFmtId="38" fontId="4" fillId="0" borderId="23" xfId="0" applyNumberFormat="1" applyFont="1" applyFill="1" applyBorder="1" applyAlignment="1"/>
    <xf numFmtId="0" fontId="4" fillId="0" borderId="283" xfId="0" applyFont="1" applyFill="1" applyBorder="1" applyAlignment="1"/>
    <xf numFmtId="0" fontId="4" fillId="0" borderId="258" xfId="0" applyFont="1" applyFill="1" applyBorder="1" applyAlignment="1"/>
    <xf numFmtId="0" fontId="4" fillId="0" borderId="89" xfId="0" applyFont="1" applyFill="1" applyBorder="1" applyAlignment="1"/>
    <xf numFmtId="176" fontId="4" fillId="0" borderId="89" xfId="0" applyNumberFormat="1" applyFont="1" applyFill="1" applyBorder="1" applyAlignment="1">
      <alignment shrinkToFit="1"/>
    </xf>
    <xf numFmtId="176" fontId="4" fillId="0" borderId="89" xfId="0" applyNumberFormat="1" applyFont="1" applyFill="1" applyBorder="1" applyAlignment="1"/>
    <xf numFmtId="176" fontId="4" fillId="0" borderId="100" xfId="0" applyNumberFormat="1" applyFont="1" applyFill="1" applyBorder="1" applyAlignment="1">
      <alignment shrinkToFit="1"/>
    </xf>
    <xf numFmtId="38" fontId="4" fillId="0" borderId="0" xfId="3" applyFont="1" applyFill="1" applyBorder="1" applyAlignment="1"/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shrinkToFit="1"/>
    </xf>
    <xf numFmtId="0" fontId="4" fillId="0" borderId="125" xfId="0" applyFont="1" applyFill="1" applyBorder="1" applyAlignment="1"/>
    <xf numFmtId="0" fontId="4" fillId="0" borderId="297" xfId="0" applyFont="1" applyFill="1" applyBorder="1" applyAlignment="1"/>
    <xf numFmtId="0" fontId="55" fillId="0" borderId="51" xfId="0" applyFont="1" applyFill="1" applyBorder="1" applyAlignment="1"/>
    <xf numFmtId="0" fontId="4" fillId="0" borderId="124" xfId="0" applyFont="1" applyFill="1" applyBorder="1" applyAlignment="1"/>
    <xf numFmtId="0" fontId="4" fillId="0" borderId="111" xfId="0" applyFont="1" applyFill="1" applyBorder="1" applyAlignment="1">
      <alignment horizontal="center" vertical="center" shrinkToFit="1"/>
    </xf>
    <xf numFmtId="193" fontId="4" fillId="0" borderId="111" xfId="0" applyNumberFormat="1" applyFont="1" applyFill="1" applyBorder="1" applyAlignment="1">
      <alignment horizontal="center"/>
    </xf>
    <xf numFmtId="193" fontId="4" fillId="0" borderId="59" xfId="0" applyNumberFormat="1" applyFont="1" applyFill="1" applyBorder="1" applyAlignment="1">
      <alignment horizontal="center"/>
    </xf>
    <xf numFmtId="0" fontId="28" fillId="0" borderId="52" xfId="0" applyFont="1" applyFill="1" applyBorder="1" applyAlignment="1">
      <alignment shrinkToFit="1"/>
    </xf>
    <xf numFmtId="0" fontId="4" fillId="0" borderId="140" xfId="0" applyFont="1" applyFill="1" applyBorder="1" applyAlignment="1"/>
    <xf numFmtId="0" fontId="4" fillId="0" borderId="23" xfId="0" applyFont="1" applyFill="1" applyBorder="1" applyAlignment="1">
      <alignment horizontal="center" vertical="center"/>
    </xf>
    <xf numFmtId="192" fontId="4" fillId="16" borderId="23" xfId="0" applyNumberFormat="1" applyFont="1" applyFill="1" applyBorder="1" applyAlignment="1" applyProtection="1">
      <alignment horizontal="center" vertical="center"/>
    </xf>
    <xf numFmtId="0" fontId="4" fillId="0" borderId="201" xfId="0" applyFont="1" applyFill="1" applyBorder="1" applyAlignment="1"/>
    <xf numFmtId="192" fontId="4" fillId="0" borderId="23" xfId="2" applyNumberFormat="1" applyFont="1" applyFill="1" applyBorder="1" applyAlignment="1" applyProtection="1">
      <alignment horizontal="center" vertical="center"/>
    </xf>
    <xf numFmtId="0" fontId="4" fillId="0" borderId="141" xfId="0" applyFont="1" applyFill="1" applyBorder="1" applyAlignment="1"/>
    <xf numFmtId="0" fontId="4" fillId="0" borderId="156" xfId="0" applyFont="1" applyFill="1" applyBorder="1" applyAlignment="1"/>
    <xf numFmtId="2" fontId="4" fillId="0" borderId="23" xfId="0" applyNumberFormat="1" applyFont="1" applyFill="1" applyBorder="1" applyAlignment="1" applyProtection="1">
      <alignment horizontal="center" vertical="center"/>
    </xf>
    <xf numFmtId="2" fontId="4" fillId="0" borderId="135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shrinkToFit="1"/>
    </xf>
    <xf numFmtId="0" fontId="4" fillId="0" borderId="23" xfId="0" applyFont="1" applyFill="1" applyBorder="1" applyAlignment="1" applyProtection="1">
      <alignment horizontal="center" vertical="center"/>
    </xf>
    <xf numFmtId="0" fontId="4" fillId="0" borderId="157" xfId="0" applyFont="1" applyFill="1" applyBorder="1" applyAlignment="1"/>
    <xf numFmtId="0" fontId="4" fillId="0" borderId="128" xfId="0" applyFont="1" applyFill="1" applyBorder="1" applyAlignment="1"/>
    <xf numFmtId="2" fontId="4" fillId="0" borderId="118" xfId="0" applyNumberFormat="1" applyFont="1" applyFill="1" applyBorder="1" applyAlignment="1" applyProtection="1">
      <alignment horizontal="center" vertical="center"/>
    </xf>
    <xf numFmtId="0" fontId="4" fillId="0" borderId="127" xfId="0" applyFont="1" applyFill="1" applyBorder="1" applyAlignment="1"/>
    <xf numFmtId="0" fontId="4" fillId="0" borderId="118" xfId="0" applyFont="1" applyFill="1" applyBorder="1" applyAlignment="1" applyProtection="1">
      <alignment horizontal="center" vertical="center"/>
    </xf>
    <xf numFmtId="193" fontId="4" fillId="0" borderId="51" xfId="0" applyNumberFormat="1" applyFont="1" applyFill="1" applyBorder="1" applyAlignment="1">
      <alignment horizontal="center"/>
    </xf>
    <xf numFmtId="193" fontId="4" fillId="0" borderId="299" xfId="0" applyNumberFormat="1" applyFont="1" applyFill="1" applyBorder="1" applyAlignment="1">
      <alignment horizontal="center"/>
    </xf>
    <xf numFmtId="193" fontId="4" fillId="0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192" fontId="4" fillId="0" borderId="299" xfId="0" applyNumberFormat="1" applyFont="1" applyFill="1" applyBorder="1" applyAlignment="1" applyProtection="1">
      <alignment horizontal="center" vertical="center"/>
    </xf>
    <xf numFmtId="192" fontId="4" fillId="0" borderId="0" xfId="0" applyNumberFormat="1" applyFont="1" applyFill="1" applyBorder="1" applyAlignment="1" applyProtection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140" xfId="0" applyFont="1" applyFill="1" applyBorder="1" applyAlignment="1">
      <alignment horizontal="center" vertical="center"/>
    </xf>
    <xf numFmtId="192" fontId="4" fillId="0" borderId="52" xfId="2" applyNumberFormat="1" applyFont="1" applyFill="1" applyBorder="1" applyAlignment="1" applyProtection="1">
      <alignment horizontal="center" vertical="center"/>
    </xf>
    <xf numFmtId="192" fontId="4" fillId="0" borderId="299" xfId="2" applyNumberFormat="1" applyFont="1" applyFill="1" applyBorder="1" applyAlignment="1" applyProtection="1">
      <alignment horizontal="center" vertical="center"/>
    </xf>
    <xf numFmtId="192" fontId="4" fillId="0" borderId="0" xfId="2" applyNumberFormat="1" applyFont="1" applyFill="1" applyBorder="1" applyAlignment="1" applyProtection="1">
      <alignment horizontal="center" vertical="center"/>
    </xf>
    <xf numFmtId="2" fontId="4" fillId="0" borderId="299" xfId="0" applyNumberFormat="1" applyFont="1" applyFill="1" applyBorder="1" applyAlignment="1" applyProtection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</xf>
    <xf numFmtId="0" fontId="4" fillId="0" borderId="195" xfId="0" applyFont="1" applyFill="1" applyBorder="1" applyAlignment="1" applyProtection="1">
      <alignment horizontal="center" vertical="center"/>
    </xf>
    <xf numFmtId="0" fontId="4" fillId="0" borderId="299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shrinkToFit="1"/>
    </xf>
    <xf numFmtId="190" fontId="4" fillId="0" borderId="23" xfId="0" applyNumberFormat="1" applyFont="1" applyFill="1" applyBorder="1" applyAlignment="1">
      <alignment horizontal="center" shrinkToFit="1"/>
    </xf>
    <xf numFmtId="177" fontId="4" fillId="0" borderId="121" xfId="0" applyNumberFormat="1" applyFont="1" applyFill="1" applyBorder="1" applyAlignment="1">
      <alignment horizontal="center" shrinkToFit="1"/>
    </xf>
    <xf numFmtId="177" fontId="4" fillId="0" borderId="122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center" shrinkToFit="1"/>
    </xf>
    <xf numFmtId="0" fontId="9" fillId="0" borderId="204" xfId="0" applyFont="1" applyFill="1" applyBorder="1" applyAlignment="1">
      <alignment horizontal="center" shrinkToFi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38" fontId="9" fillId="31" borderId="23" xfId="0" applyNumberFormat="1" applyFont="1" applyFill="1" applyBorder="1" applyAlignment="1">
      <alignment horizontal="center" vertical="center" shrinkToFit="1"/>
    </xf>
    <xf numFmtId="38" fontId="9" fillId="31" borderId="31" xfId="0" applyNumberFormat="1" applyFont="1" applyFill="1" applyBorder="1" applyAlignment="1">
      <alignment horizontal="center" vertical="center" shrinkToFit="1"/>
    </xf>
    <xf numFmtId="38" fontId="9" fillId="31" borderId="95" xfId="0" applyNumberFormat="1" applyFont="1" applyFill="1" applyBorder="1" applyAlignment="1">
      <alignment horizontal="center" vertical="center" shrinkToFit="1"/>
    </xf>
    <xf numFmtId="38" fontId="9" fillId="31" borderId="99" xfId="0" applyNumberFormat="1" applyFont="1" applyFill="1" applyBorder="1" applyAlignment="1">
      <alignment horizontal="center" vertical="center" shrinkToFit="1"/>
    </xf>
    <xf numFmtId="38" fontId="9" fillId="31" borderId="82" xfId="0" applyNumberFormat="1" applyFont="1" applyFill="1" applyBorder="1" applyAlignment="1">
      <alignment horizontal="right" shrinkToFit="1"/>
    </xf>
    <xf numFmtId="38" fontId="9" fillId="31" borderId="200" xfId="0" applyNumberFormat="1" applyFont="1" applyFill="1" applyBorder="1" applyAlignment="1">
      <alignment horizontal="right" shrinkToFit="1"/>
    </xf>
    <xf numFmtId="38" fontId="9" fillId="31" borderId="23" xfId="0" applyNumberFormat="1" applyFont="1" applyFill="1" applyBorder="1" applyAlignment="1">
      <alignment horizontal="right" shrinkToFit="1"/>
    </xf>
    <xf numFmtId="38" fontId="9" fillId="31" borderId="31" xfId="0" applyNumberFormat="1" applyFont="1" applyFill="1" applyBorder="1" applyAlignment="1">
      <alignment horizontal="right" shrinkToFit="1"/>
    </xf>
    <xf numFmtId="177" fontId="9" fillId="0" borderId="231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right"/>
    </xf>
    <xf numFmtId="0" fontId="9" fillId="0" borderId="121" xfId="0" applyFont="1" applyFill="1" applyBorder="1" applyAlignment="1">
      <alignment horizontal="right" shrinkToFit="1"/>
    </xf>
    <xf numFmtId="0" fontId="9" fillId="0" borderId="204" xfId="0" applyFont="1" applyFill="1" applyBorder="1" applyAlignment="1">
      <alignment horizontal="right" shrinkToFit="1"/>
    </xf>
    <xf numFmtId="38" fontId="9" fillId="31" borderId="85" xfId="0" applyNumberFormat="1" applyFont="1" applyFill="1" applyBorder="1" applyAlignment="1">
      <alignment horizontal="right" shrinkToFit="1"/>
    </xf>
    <xf numFmtId="38" fontId="9" fillId="31" borderId="98" xfId="0" applyNumberFormat="1" applyFont="1" applyFill="1" applyBorder="1" applyAlignment="1">
      <alignment horizontal="right" shrinkToFit="1"/>
    </xf>
    <xf numFmtId="0" fontId="44" fillId="0" borderId="225" xfId="0" applyFont="1" applyFill="1" applyBorder="1" applyAlignment="1">
      <alignment horizontal="center"/>
    </xf>
    <xf numFmtId="0" fontId="4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 shrinkToFit="1"/>
    </xf>
    <xf numFmtId="0" fontId="9" fillId="0" borderId="225" xfId="0" applyFont="1" applyFill="1" applyBorder="1" applyAlignment="1">
      <alignment horizontal="right" shrinkToFit="1"/>
    </xf>
    <xf numFmtId="0" fontId="9" fillId="0" borderId="248" xfId="0" applyFont="1" applyFill="1" applyBorder="1" applyAlignment="1">
      <alignment horizontal="center" shrinkToFit="1"/>
    </xf>
    <xf numFmtId="0" fontId="9" fillId="0" borderId="234" xfId="0" applyFont="1" applyFill="1" applyBorder="1" applyAlignment="1">
      <alignment horizontal="right" shrinkToFit="1"/>
    </xf>
    <xf numFmtId="38" fontId="9" fillId="0" borderId="95" xfId="0" applyNumberFormat="1" applyFont="1" applyFill="1" applyBorder="1" applyAlignment="1">
      <alignment horizontal="right" shrinkToFit="1"/>
    </xf>
    <xf numFmtId="38" fontId="9" fillId="0" borderId="99" xfId="0" applyNumberFormat="1" applyFont="1" applyFill="1" applyBorder="1" applyAlignment="1">
      <alignment horizontal="right" shrinkToFit="1"/>
    </xf>
    <xf numFmtId="38" fontId="4" fillId="0" borderId="0" xfId="3" applyFont="1" applyBorder="1" applyAlignment="1"/>
    <xf numFmtId="0" fontId="4" fillId="0" borderId="0" xfId="0" applyFont="1" applyBorder="1" applyAlignment="1">
      <alignment horizontal="center" vertical="center" shrinkToFit="1"/>
    </xf>
    <xf numFmtId="0" fontId="4" fillId="0" borderId="125" xfId="0" applyFont="1" applyBorder="1" applyAlignment="1"/>
    <xf numFmtId="0" fontId="4" fillId="0" borderId="297" xfId="0" applyFont="1" applyBorder="1" applyAlignment="1"/>
    <xf numFmtId="0" fontId="55" fillId="0" borderId="51" xfId="0" applyFont="1" applyBorder="1" applyAlignment="1"/>
    <xf numFmtId="0" fontId="4" fillId="0" borderId="124" xfId="0" applyFont="1" applyBorder="1" applyAlignment="1"/>
    <xf numFmtId="0" fontId="4" fillId="0" borderId="111" xfId="0" applyFont="1" applyBorder="1" applyAlignment="1">
      <alignment horizontal="center" vertical="center" shrinkToFit="1"/>
    </xf>
    <xf numFmtId="192" fontId="4" fillId="16" borderId="60" xfId="0" applyNumberFormat="1" applyFont="1" applyFill="1" applyBorder="1" applyAlignment="1" applyProtection="1">
      <alignment horizontal="center" vertical="center"/>
    </xf>
    <xf numFmtId="192" fontId="4" fillId="0" borderId="60" xfId="2" applyNumberFormat="1" applyFont="1" applyFill="1" applyBorder="1" applyAlignment="1" applyProtection="1">
      <alignment horizontal="center" vertical="center"/>
    </xf>
    <xf numFmtId="2" fontId="4" fillId="0" borderId="60" xfId="0" applyNumberFormat="1" applyFont="1" applyFill="1" applyBorder="1" applyAlignment="1" applyProtection="1">
      <alignment horizontal="center" vertical="center"/>
    </xf>
    <xf numFmtId="0" fontId="4" fillId="0" borderId="60" xfId="0" applyFont="1" applyFill="1" applyBorder="1" applyAlignment="1" applyProtection="1">
      <alignment horizontal="center" vertical="center"/>
    </xf>
    <xf numFmtId="2" fontId="4" fillId="0" borderId="58" xfId="0" applyNumberFormat="1" applyFont="1" applyFill="1" applyBorder="1" applyAlignment="1" applyProtection="1">
      <alignment horizontal="center" vertical="center"/>
    </xf>
    <xf numFmtId="0" fontId="4" fillId="0" borderId="58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>
      <alignment horizontal="right" vertical="center"/>
    </xf>
    <xf numFmtId="0" fontId="68" fillId="0" borderId="0" xfId="0" applyFont="1" applyFill="1" applyBorder="1" applyAlignment="1">
      <alignment horizontal="left" vertical="center"/>
    </xf>
    <xf numFmtId="0" fontId="0" fillId="0" borderId="0" xfId="0" applyAlignment="1">
      <alignment vertical="center" shrinkToFit="1"/>
    </xf>
    <xf numFmtId="0" fontId="51" fillId="27" borderId="231" xfId="0" applyFont="1" applyFill="1" applyBorder="1" applyAlignment="1">
      <alignment horizontal="center" vertical="center" shrinkToFit="1"/>
    </xf>
    <xf numFmtId="0" fontId="51" fillId="27" borderId="248" xfId="0" applyFont="1" applyFill="1" applyBorder="1" applyAlignment="1">
      <alignment horizontal="center" vertical="center" shrinkToFit="1"/>
    </xf>
    <xf numFmtId="0" fontId="9" fillId="28" borderId="0" xfId="0" applyFont="1" applyFill="1" applyBorder="1" applyAlignment="1">
      <alignment horizontal="right" vertical="center"/>
    </xf>
    <xf numFmtId="0" fontId="11" fillId="28" borderId="0" xfId="0" applyFont="1" applyFill="1" applyBorder="1" applyAlignment="1">
      <alignment horizontal="distributed" vertical="center"/>
    </xf>
    <xf numFmtId="0" fontId="11" fillId="28" borderId="0" xfId="0" applyFont="1" applyFill="1" applyBorder="1" applyAlignment="1">
      <alignment horizontal="left" vertical="center"/>
    </xf>
    <xf numFmtId="0" fontId="52" fillId="28" borderId="0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center" vertical="center"/>
    </xf>
    <xf numFmtId="0" fontId="9" fillId="28" borderId="0" xfId="0" applyFont="1" applyFill="1" applyBorder="1" applyAlignment="1">
      <alignment horizontal="left" vertical="center" shrinkToFit="1"/>
    </xf>
    <xf numFmtId="0" fontId="9" fillId="28" borderId="0" xfId="0" applyFont="1" applyFill="1" applyBorder="1" applyAlignment="1">
      <alignment vertical="center"/>
    </xf>
    <xf numFmtId="0" fontId="9" fillId="28" borderId="0" xfId="0" applyFont="1" applyFill="1" applyBorder="1" applyAlignment="1">
      <alignment horizontal="right" vertical="center" shrinkToFit="1"/>
    </xf>
    <xf numFmtId="190" fontId="4" fillId="27" borderId="82" xfId="0" applyNumberFormat="1" applyFont="1" applyFill="1" applyBorder="1" applyAlignment="1">
      <alignment horizontal="center" shrinkToFit="1"/>
    </xf>
    <xf numFmtId="190" fontId="4" fillId="27" borderId="152" xfId="0" applyNumberFormat="1" applyFont="1" applyFill="1" applyBorder="1" applyAlignment="1">
      <alignment horizontal="center" shrinkToFit="1"/>
    </xf>
    <xf numFmtId="0" fontId="9" fillId="28" borderId="224" xfId="0" applyFont="1" applyFill="1" applyBorder="1" applyAlignment="1">
      <alignment horizontal="right"/>
    </xf>
    <xf numFmtId="0" fontId="4" fillId="28" borderId="178" xfId="0" applyFont="1" applyFill="1" applyBorder="1" applyAlignment="1"/>
    <xf numFmtId="0" fontId="9" fillId="28" borderId="178" xfId="0" applyFont="1" applyFill="1" applyBorder="1" applyAlignment="1">
      <alignment horizontal="right"/>
    </xf>
    <xf numFmtId="0" fontId="9" fillId="0" borderId="83" xfId="0" applyFont="1" applyFill="1" applyBorder="1" applyAlignment="1">
      <alignment horizontal="center"/>
    </xf>
    <xf numFmtId="38" fontId="9" fillId="28" borderId="82" xfId="0" applyNumberFormat="1" applyFont="1" applyFill="1" applyBorder="1" applyAlignment="1">
      <alignment horizontal="right"/>
    </xf>
    <xf numFmtId="179" fontId="9" fillId="27" borderId="82" xfId="0" applyNumberFormat="1" applyFont="1" applyFill="1" applyBorder="1" applyAlignment="1">
      <alignment shrinkToFit="1"/>
    </xf>
    <xf numFmtId="179" fontId="9" fillId="27" borderId="200" xfId="0" applyNumberFormat="1" applyFont="1" applyFill="1" applyBorder="1" applyAlignment="1">
      <alignment shrinkToFit="1"/>
    </xf>
    <xf numFmtId="0" fontId="9" fillId="28" borderId="226" xfId="0" applyFont="1" applyFill="1" applyBorder="1" applyAlignment="1">
      <alignment horizontal="right"/>
    </xf>
    <xf numFmtId="0" fontId="4" fillId="28" borderId="142" xfId="0" applyFont="1" applyFill="1" applyBorder="1" applyAlignment="1"/>
    <xf numFmtId="0" fontId="9" fillId="28" borderId="142" xfId="0" applyFont="1" applyFill="1" applyBorder="1" applyAlignment="1">
      <alignment horizontal="right"/>
    </xf>
    <xf numFmtId="0" fontId="9" fillId="0" borderId="52" xfId="0" applyFont="1" applyFill="1" applyBorder="1" applyAlignment="1">
      <alignment horizontal="center"/>
    </xf>
    <xf numFmtId="38" fontId="9" fillId="28" borderId="23" xfId="0" applyNumberFormat="1" applyFont="1" applyFill="1" applyBorder="1" applyAlignment="1">
      <alignment horizontal="right"/>
    </xf>
    <xf numFmtId="179" fontId="9" fillId="27" borderId="23" xfId="0" applyNumberFormat="1" applyFont="1" applyFill="1" applyBorder="1" applyAlignment="1">
      <alignment shrinkToFit="1"/>
    </xf>
    <xf numFmtId="179" fontId="9" fillId="27" borderId="52" xfId="0" applyNumberFormat="1" applyFont="1" applyFill="1" applyBorder="1" applyAlignment="1">
      <alignment shrinkToFit="1"/>
    </xf>
    <xf numFmtId="0" fontId="4" fillId="28" borderId="176" xfId="0" applyFont="1" applyFill="1" applyBorder="1" applyAlignment="1"/>
    <xf numFmtId="0" fontId="9" fillId="28" borderId="176" xfId="0" applyFont="1" applyFill="1" applyBorder="1" applyAlignment="1">
      <alignment horizontal="right"/>
    </xf>
    <xf numFmtId="0" fontId="9" fillId="0" borderId="86" xfId="0" applyFont="1" applyFill="1" applyBorder="1" applyAlignment="1">
      <alignment horizontal="center"/>
    </xf>
    <xf numFmtId="38" fontId="9" fillId="28" borderId="85" xfId="0" applyNumberFormat="1" applyFont="1" applyFill="1" applyBorder="1" applyAlignment="1">
      <alignment horizontal="right"/>
    </xf>
    <xf numFmtId="179" fontId="9" fillId="27" borderId="85" xfId="0" applyNumberFormat="1" applyFont="1" applyFill="1" applyBorder="1" applyAlignment="1">
      <alignment shrinkToFit="1"/>
    </xf>
    <xf numFmtId="179" fontId="9" fillId="27" borderId="86" xfId="0" applyNumberFormat="1" applyFont="1" applyFill="1" applyBorder="1" applyAlignment="1">
      <alignment shrinkToFit="1"/>
    </xf>
    <xf numFmtId="0" fontId="9" fillId="28" borderId="174" xfId="0" applyFont="1" applyFill="1" applyBorder="1" applyAlignment="1">
      <alignment horizontal="right"/>
    </xf>
    <xf numFmtId="0" fontId="17" fillId="28" borderId="141" xfId="0" applyFont="1" applyFill="1" applyBorder="1" applyAlignment="1"/>
    <xf numFmtId="0" fontId="9" fillId="28" borderId="141" xfId="0" applyFont="1" applyFill="1" applyBorder="1" applyAlignment="1">
      <alignment horizontal="right"/>
    </xf>
    <xf numFmtId="0" fontId="9" fillId="0" borderId="96" xfId="0" applyFont="1" applyFill="1" applyBorder="1" applyAlignment="1">
      <alignment horizontal="center"/>
    </xf>
    <xf numFmtId="38" fontId="9" fillId="28" borderId="95" xfId="0" applyNumberFormat="1" applyFont="1" applyFill="1" applyBorder="1" applyAlignment="1">
      <alignment horizontal="right"/>
    </xf>
    <xf numFmtId="179" fontId="9" fillId="0" borderId="95" xfId="0" applyNumberFormat="1" applyFont="1" applyFill="1" applyBorder="1" applyAlignment="1">
      <alignment shrinkToFit="1"/>
    </xf>
    <xf numFmtId="0" fontId="17" fillId="28" borderId="176" xfId="0" applyFont="1" applyFill="1" applyBorder="1" applyAlignment="1"/>
    <xf numFmtId="194" fontId="9" fillId="28" borderId="85" xfId="0" applyNumberFormat="1" applyFont="1" applyFill="1" applyBorder="1" applyAlignment="1">
      <alignment horizontal="right"/>
    </xf>
    <xf numFmtId="179" fontId="9" fillId="0" borderId="85" xfId="0" applyNumberFormat="1" applyFont="1" applyFill="1" applyBorder="1" applyAlignment="1">
      <alignment shrinkToFit="1"/>
    </xf>
    <xf numFmtId="0" fontId="52" fillId="28" borderId="224" xfId="0" applyFont="1" applyFill="1" applyBorder="1" applyAlignment="1">
      <alignment horizontal="left" vertical="center"/>
    </xf>
    <xf numFmtId="0" fontId="24" fillId="28" borderId="225" xfId="0" applyFont="1" applyFill="1" applyBorder="1" applyAlignment="1">
      <alignment horizontal="right" vertical="center"/>
    </xf>
    <xf numFmtId="0" fontId="17" fillId="28" borderId="229" xfId="0" applyFont="1" applyFill="1" applyBorder="1" applyAlignment="1">
      <alignment horizontal="right" vertical="center"/>
    </xf>
    <xf numFmtId="0" fontId="17" fillId="0" borderId="151" xfId="0" applyFont="1" applyBorder="1" applyAlignment="1">
      <alignment vertical="center"/>
    </xf>
    <xf numFmtId="0" fontId="17" fillId="0" borderId="152" xfId="0" applyFont="1" applyBorder="1" applyAlignment="1">
      <alignment vertical="center"/>
    </xf>
    <xf numFmtId="0" fontId="24" fillId="28" borderId="149" xfId="0" applyFont="1" applyFill="1" applyBorder="1" applyAlignment="1">
      <alignment horizontal="center" vertical="center"/>
    </xf>
    <xf numFmtId="0" fontId="24" fillId="20" borderId="82" xfId="0" applyFont="1" applyFill="1" applyBorder="1" applyAlignment="1">
      <alignment horizontal="left" vertical="center" shrinkToFit="1"/>
    </xf>
    <xf numFmtId="0" fontId="24" fillId="28" borderId="82" xfId="0" applyFont="1" applyFill="1" applyBorder="1" applyAlignment="1">
      <alignment horizontal="right" vertical="center"/>
    </xf>
    <xf numFmtId="177" fontId="24" fillId="28" borderId="82" xfId="0" applyNumberFormat="1" applyFont="1" applyFill="1" applyBorder="1" applyAlignment="1">
      <alignment horizontal="right" vertical="center"/>
    </xf>
    <xf numFmtId="177" fontId="24" fillId="27" borderId="82" xfId="0" applyNumberFormat="1" applyFont="1" applyFill="1" applyBorder="1" applyAlignment="1">
      <alignment horizontal="right" vertical="center" shrinkToFit="1"/>
    </xf>
    <xf numFmtId="177" fontId="24" fillId="27" borderId="200" xfId="0" applyNumberFormat="1" applyFont="1" applyFill="1" applyBorder="1" applyAlignment="1">
      <alignment horizontal="right" vertical="center" shrinkToFit="1"/>
    </xf>
    <xf numFmtId="0" fontId="24" fillId="20" borderId="23" xfId="0" applyFont="1" applyFill="1" applyBorder="1" applyAlignment="1">
      <alignment horizontal="left" vertical="center" shrinkToFit="1"/>
    </xf>
    <xf numFmtId="0" fontId="24" fillId="28" borderId="23" xfId="0" applyFont="1" applyFill="1" applyBorder="1" applyAlignment="1">
      <alignment horizontal="right" vertical="center"/>
    </xf>
    <xf numFmtId="177" fontId="24" fillId="28" borderId="23" xfId="0" applyNumberFormat="1" applyFont="1" applyFill="1" applyBorder="1" applyAlignment="1">
      <alignment horizontal="right" vertical="center"/>
    </xf>
    <xf numFmtId="9" fontId="24" fillId="28" borderId="23" xfId="0" applyNumberFormat="1" applyFont="1" applyFill="1" applyBorder="1" applyAlignment="1">
      <alignment horizontal="right" vertical="center"/>
    </xf>
    <xf numFmtId="177" fontId="24" fillId="27" borderId="23" xfId="0" applyNumberFormat="1" applyFont="1" applyFill="1" applyBorder="1" applyAlignment="1">
      <alignment horizontal="right" vertical="center" shrinkToFit="1"/>
    </xf>
    <xf numFmtId="177" fontId="24" fillId="27" borderId="31" xfId="0" applyNumberFormat="1" applyFont="1" applyFill="1" applyBorder="1" applyAlignment="1">
      <alignment horizontal="right" vertical="center" shrinkToFit="1"/>
    </xf>
    <xf numFmtId="0" fontId="9" fillId="20" borderId="23" xfId="0" applyFont="1" applyFill="1" applyBorder="1" applyAlignment="1">
      <alignment horizontal="left" shrinkToFit="1"/>
    </xf>
    <xf numFmtId="0" fontId="24" fillId="28" borderId="120" xfId="0" applyFont="1" applyFill="1" applyBorder="1" applyAlignment="1">
      <alignment horizontal="left" vertical="center" shrinkToFit="1"/>
    </xf>
    <xf numFmtId="0" fontId="24" fillId="28" borderId="120" xfId="0" applyFont="1" applyFill="1" applyBorder="1" applyAlignment="1">
      <alignment horizontal="right" vertical="center"/>
    </xf>
    <xf numFmtId="177" fontId="24" fillId="28" borderId="120" xfId="0" applyNumberFormat="1" applyFont="1" applyFill="1" applyBorder="1" applyAlignment="1">
      <alignment horizontal="right" vertical="center"/>
    </xf>
    <xf numFmtId="177" fontId="24" fillId="27" borderId="120" xfId="0" applyNumberFormat="1" applyFont="1" applyFill="1" applyBorder="1" applyAlignment="1">
      <alignment horizontal="right" vertical="center" shrinkToFit="1"/>
    </xf>
    <xf numFmtId="177" fontId="24" fillId="27" borderId="122" xfId="0" applyNumberFormat="1" applyFont="1" applyFill="1" applyBorder="1" applyAlignment="1">
      <alignment horizontal="right" vertical="center" shrinkToFit="1"/>
    </xf>
    <xf numFmtId="38" fontId="9" fillId="30" borderId="23" xfId="0" applyNumberFormat="1" applyFont="1" applyFill="1" applyBorder="1" applyAlignment="1">
      <alignment horizontal="right" shrinkToFit="1"/>
    </xf>
    <xf numFmtId="38" fontId="9" fillId="30" borderId="31" xfId="0" applyNumberFormat="1" applyFont="1" applyFill="1" applyBorder="1" applyAlignment="1">
      <alignment horizontal="right" shrinkToFit="1"/>
    </xf>
    <xf numFmtId="0" fontId="24" fillId="20" borderId="120" xfId="0" applyFont="1" applyFill="1" applyBorder="1" applyAlignment="1">
      <alignment horizontal="left" vertical="center" shrinkToFit="1"/>
    </xf>
    <xf numFmtId="0" fontId="24" fillId="28" borderId="300" xfId="0" applyFont="1" applyFill="1" applyBorder="1" applyAlignment="1">
      <alignment horizontal="center" vertical="center"/>
    </xf>
    <xf numFmtId="0" fontId="9" fillId="28" borderId="301" xfId="0" applyFont="1" applyFill="1" applyBorder="1" applyAlignment="1">
      <alignment horizontal="center" vertical="center" textRotation="255"/>
    </xf>
    <xf numFmtId="0" fontId="17" fillId="20" borderId="302" xfId="0" applyFont="1" applyFill="1" applyBorder="1" applyAlignment="1">
      <alignment horizontal="left" vertical="center" shrinkToFit="1"/>
    </xf>
    <xf numFmtId="0" fontId="24" fillId="20" borderId="303" xfId="0" applyFont="1" applyFill="1" applyBorder="1" applyAlignment="1">
      <alignment horizontal="left" vertical="center" shrinkToFit="1"/>
    </xf>
    <xf numFmtId="0" fontId="24" fillId="28" borderId="303" xfId="0" applyFont="1" applyFill="1" applyBorder="1" applyAlignment="1">
      <alignment horizontal="right" vertical="center"/>
    </xf>
    <xf numFmtId="177" fontId="24" fillId="28" borderId="303" xfId="0" applyNumberFormat="1" applyFont="1" applyFill="1" applyBorder="1" applyAlignment="1">
      <alignment horizontal="right" vertical="center"/>
    </xf>
    <xf numFmtId="177" fontId="24" fillId="0" borderId="303" xfId="0" applyNumberFormat="1" applyFont="1" applyFill="1" applyBorder="1" applyAlignment="1">
      <alignment horizontal="right" vertical="center" shrinkToFit="1"/>
    </xf>
    <xf numFmtId="177" fontId="24" fillId="0" borderId="304" xfId="0" applyNumberFormat="1" applyFont="1" applyFill="1" applyBorder="1" applyAlignment="1">
      <alignment horizontal="right" vertical="center" shrinkToFit="1"/>
    </xf>
    <xf numFmtId="0" fontId="24" fillId="28" borderId="305" xfId="0" applyFont="1" applyFill="1" applyBorder="1" applyAlignment="1">
      <alignment horizontal="center" vertical="center"/>
    </xf>
    <xf numFmtId="0" fontId="9" fillId="28" borderId="279" xfId="0" applyFont="1" applyFill="1" applyBorder="1" applyAlignment="1">
      <alignment horizontal="center" vertical="center" textRotation="255"/>
    </xf>
    <xf numFmtId="0" fontId="24" fillId="20" borderId="269" xfId="0" applyFont="1" applyFill="1" applyBorder="1" applyAlignment="1">
      <alignment horizontal="left" vertical="center" shrinkToFit="1"/>
    </xf>
    <xf numFmtId="0" fontId="24" fillId="20" borderId="270" xfId="0" applyFont="1" applyFill="1" applyBorder="1" applyAlignment="1">
      <alignment horizontal="left" vertical="center" shrinkToFit="1"/>
    </xf>
    <xf numFmtId="0" fontId="24" fillId="28" borderId="270" xfId="0" applyFont="1" applyFill="1" applyBorder="1" applyAlignment="1">
      <alignment horizontal="right" vertical="center"/>
    </xf>
    <xf numFmtId="177" fontId="24" fillId="28" borderId="270" xfId="0" applyNumberFormat="1" applyFont="1" applyFill="1" applyBorder="1" applyAlignment="1">
      <alignment horizontal="right" vertical="center"/>
    </xf>
    <xf numFmtId="177" fontId="24" fillId="0" borderId="306" xfId="0" applyNumberFormat="1" applyFont="1" applyFill="1" applyBorder="1" applyAlignment="1">
      <alignment horizontal="right" vertical="center" shrinkToFit="1"/>
    </xf>
    <xf numFmtId="38" fontId="24" fillId="0" borderId="100" xfId="0" applyNumberFormat="1" applyFont="1" applyFill="1" applyBorder="1" applyAlignment="1">
      <alignment horizontal="right" vertical="center" shrinkToFit="1"/>
    </xf>
    <xf numFmtId="0" fontId="24" fillId="28" borderId="231" xfId="0" quotePrefix="1" applyFont="1" applyFill="1" applyBorder="1" applyAlignment="1">
      <alignment horizontal="center" vertical="center"/>
    </xf>
    <xf numFmtId="0" fontId="24" fillId="28" borderId="233" xfId="0" applyFont="1" applyFill="1" applyBorder="1" applyAlignment="1">
      <alignment horizontal="left" vertical="center" shrinkToFit="1"/>
    </xf>
    <xf numFmtId="177" fontId="24" fillId="20" borderId="23" xfId="0" applyNumberFormat="1" applyFont="1" applyFill="1" applyBorder="1" applyAlignment="1">
      <alignment horizontal="right" vertical="center"/>
    </xf>
    <xf numFmtId="0" fontId="24" fillId="28" borderId="23" xfId="0" quotePrefix="1" applyFont="1" applyFill="1" applyBorder="1" applyAlignment="1">
      <alignment horizontal="center" vertical="center"/>
    </xf>
    <xf numFmtId="0" fontId="24" fillId="28" borderId="140" xfId="0" applyFont="1" applyFill="1" applyBorder="1" applyAlignment="1">
      <alignment horizontal="left" vertical="center" shrinkToFit="1"/>
    </xf>
    <xf numFmtId="0" fontId="0" fillId="0" borderId="121" xfId="0" applyBorder="1" applyAlignment="1">
      <alignment horizontal="center" vertical="center" shrinkToFit="1"/>
    </xf>
    <xf numFmtId="0" fontId="17" fillId="28" borderId="140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right" vertical="center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177" fontId="24" fillId="16" borderId="23" xfId="0" applyNumberFormat="1" applyFont="1" applyFill="1" applyBorder="1" applyAlignment="1">
      <alignment horizontal="right" vertical="center" shrinkToFit="1"/>
    </xf>
    <xf numFmtId="0" fontId="24" fillId="0" borderId="85" xfId="0" applyFont="1" applyFill="1" applyBorder="1" applyAlignment="1">
      <alignment horizontal="left" vertical="center"/>
    </xf>
    <xf numFmtId="0" fontId="24" fillId="0" borderId="85" xfId="0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 shrinkToFit="1"/>
    </xf>
    <xf numFmtId="177" fontId="24" fillId="0" borderId="98" xfId="0" applyNumberFormat="1" applyFont="1" applyFill="1" applyBorder="1" applyAlignment="1">
      <alignment horizontal="right" vertical="center" shrinkToFit="1"/>
    </xf>
    <xf numFmtId="0" fontId="17" fillId="0" borderId="307" xfId="0" applyFont="1" applyBorder="1" applyAlignment="1">
      <alignment vertical="center"/>
    </xf>
    <xf numFmtId="0" fontId="17" fillId="0" borderId="229" xfId="0" applyFont="1" applyBorder="1" applyAlignment="1">
      <alignment vertical="center"/>
    </xf>
    <xf numFmtId="0" fontId="17" fillId="0" borderId="151" xfId="0" applyFont="1" applyFill="1" applyBorder="1" applyAlignment="1">
      <alignment horizontal="right" vertical="center"/>
    </xf>
    <xf numFmtId="177" fontId="17" fillId="0" borderId="151" xfId="0" applyNumberFormat="1" applyFont="1" applyFill="1" applyBorder="1" applyAlignment="1">
      <alignment vertical="center" shrinkToFit="1"/>
    </xf>
    <xf numFmtId="177" fontId="17" fillId="0" borderId="152" xfId="0" applyNumberFormat="1" applyFont="1" applyFill="1" applyBorder="1" applyAlignment="1">
      <alignment vertical="center" shrinkToFit="1"/>
    </xf>
    <xf numFmtId="0" fontId="24" fillId="0" borderId="231" xfId="0" applyNumberFormat="1" applyFont="1" applyFill="1" applyBorder="1" applyAlignment="1">
      <alignment horizontal="right" vertical="center" shrinkToFit="1"/>
    </xf>
    <xf numFmtId="10" fontId="24" fillId="0" borderId="231" xfId="0" quotePrefix="1" applyNumberFormat="1" applyFont="1" applyFill="1" applyBorder="1" applyAlignment="1">
      <alignment horizontal="right" vertical="center" shrinkToFit="1"/>
    </xf>
    <xf numFmtId="177" fontId="17" fillId="0" borderId="232" xfId="0" applyNumberFormat="1" applyFont="1" applyBorder="1" applyAlignment="1">
      <alignment vertical="center" shrinkToFit="1"/>
    </xf>
    <xf numFmtId="0" fontId="24" fillId="0" borderId="83" xfId="0" applyFont="1" applyFill="1" applyBorder="1" applyAlignment="1">
      <alignment vertical="center" shrinkToFit="1"/>
    </xf>
    <xf numFmtId="0" fontId="24" fillId="0" borderId="233" xfId="0" applyFont="1" applyFill="1" applyBorder="1" applyAlignment="1">
      <alignment vertical="center" shrinkToFit="1"/>
    </xf>
    <xf numFmtId="0" fontId="24" fillId="0" borderId="82" xfId="0" applyNumberFormat="1" applyFont="1" applyFill="1" applyBorder="1" applyAlignment="1">
      <alignment horizontal="right" vertical="center" shrinkToFit="1"/>
    </xf>
    <xf numFmtId="10" fontId="24" fillId="0" borderId="82" xfId="0" quotePrefix="1" applyNumberFormat="1" applyFont="1" applyFill="1" applyBorder="1" applyAlignment="1">
      <alignment horizontal="right" vertical="center" shrinkToFit="1"/>
    </xf>
    <xf numFmtId="0" fontId="24" fillId="0" borderId="52" xfId="0" applyFont="1" applyFill="1" applyBorder="1" applyAlignment="1">
      <alignment vertical="center" shrinkToFit="1"/>
    </xf>
    <xf numFmtId="0" fontId="24" fillId="0" borderId="140" xfId="0" applyFont="1" applyFill="1" applyBorder="1" applyAlignment="1">
      <alignment vertical="center" shrinkToFit="1"/>
    </xf>
    <xf numFmtId="177" fontId="17" fillId="0" borderId="23" xfId="0" applyNumberFormat="1" applyFont="1" applyBorder="1" applyAlignment="1">
      <alignment vertical="center"/>
    </xf>
    <xf numFmtId="177" fontId="17" fillId="0" borderId="23" xfId="0" applyNumberFormat="1" applyFont="1" applyBorder="1" applyAlignment="1">
      <alignment vertical="center" shrinkToFit="1"/>
    </xf>
    <xf numFmtId="177" fontId="17" fillId="0" borderId="31" xfId="0" applyNumberFormat="1" applyFont="1" applyBorder="1" applyAlignment="1">
      <alignment vertical="center" shrinkToFit="1"/>
    </xf>
    <xf numFmtId="0" fontId="24" fillId="0" borderId="85" xfId="0" applyNumberFormat="1" applyFont="1" applyFill="1" applyBorder="1" applyAlignment="1">
      <alignment horizontal="right" vertical="center" shrinkToFit="1"/>
    </xf>
    <xf numFmtId="10" fontId="24" fillId="0" borderId="85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Fill="1" applyBorder="1" applyAlignment="1">
      <alignment vertical="center" shrinkToFit="1"/>
    </xf>
    <xf numFmtId="177" fontId="17" fillId="0" borderId="239" xfId="0" applyNumberFormat="1" applyFont="1" applyBorder="1" applyAlignment="1">
      <alignment vertical="center" shrinkToFit="1"/>
    </xf>
    <xf numFmtId="177" fontId="17" fillId="0" borderId="296" xfId="0" applyNumberFormat="1" applyFont="1" applyBorder="1" applyAlignment="1">
      <alignment vertical="center" shrinkToFit="1"/>
    </xf>
    <xf numFmtId="0" fontId="33" fillId="0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73" fillId="0" borderId="0" xfId="0" applyFont="1" applyFill="1" applyBorder="1" applyAlignment="1">
      <alignment horizontal="distributed"/>
    </xf>
    <xf numFmtId="38" fontId="9" fillId="11" borderId="12" xfId="0" applyNumberFormat="1" applyFont="1" applyFill="1" applyBorder="1" applyAlignment="1">
      <alignment horizontal="center" vertical="center" shrinkToFit="1"/>
    </xf>
    <xf numFmtId="0" fontId="4" fillId="28" borderId="224" xfId="0" applyFont="1" applyFill="1" applyBorder="1" applyAlignment="1">
      <alignment horizontal="right"/>
    </xf>
    <xf numFmtId="0" fontId="4" fillId="28" borderId="225" xfId="0" applyFont="1" applyFill="1" applyBorder="1" applyAlignment="1">
      <alignment horizontal="right"/>
    </xf>
    <xf numFmtId="190" fontId="4" fillId="11" borderId="82" xfId="0" applyNumberFormat="1" applyFont="1" applyFill="1" applyBorder="1" applyAlignment="1">
      <alignment horizontal="center" shrinkToFit="1"/>
    </xf>
    <xf numFmtId="190" fontId="4" fillId="11" borderId="200" xfId="0" applyNumberFormat="1" applyFont="1" applyFill="1" applyBorder="1" applyAlignment="1">
      <alignment horizontal="center" shrinkToFit="1"/>
    </xf>
    <xf numFmtId="0" fontId="9" fillId="28" borderId="225" xfId="0" applyFont="1" applyFill="1" applyBorder="1" applyAlignment="1">
      <alignment horizontal="right"/>
    </xf>
    <xf numFmtId="0" fontId="9" fillId="11" borderId="231" xfId="0" applyFont="1" applyFill="1" applyBorder="1" applyAlignment="1">
      <alignment horizontal="center"/>
    </xf>
    <xf numFmtId="0" fontId="9" fillId="28" borderId="231" xfId="0" applyFont="1" applyFill="1" applyBorder="1" applyAlignment="1">
      <alignment horizontal="center"/>
    </xf>
    <xf numFmtId="0" fontId="9" fillId="28" borderId="231" xfId="0" applyFont="1" applyFill="1" applyBorder="1" applyAlignment="1">
      <alignment horizontal="center" shrinkToFit="1"/>
    </xf>
    <xf numFmtId="0" fontId="9" fillId="28" borderId="232" xfId="0" applyFont="1" applyFill="1" applyBorder="1" applyAlignment="1">
      <alignment horizontal="center" shrinkToFit="1"/>
    </xf>
    <xf numFmtId="0" fontId="9" fillId="28" borderId="0" xfId="0" applyFont="1" applyFill="1" applyBorder="1" applyAlignment="1">
      <alignment horizontal="right"/>
    </xf>
    <xf numFmtId="0" fontId="9" fillId="11" borderId="121" xfId="0" applyFont="1" applyFill="1" applyBorder="1" applyAlignment="1">
      <alignment horizontal="center"/>
    </xf>
    <xf numFmtId="0" fontId="74" fillId="28" borderId="121" xfId="0" applyFont="1" applyFill="1" applyBorder="1" applyAlignment="1"/>
    <xf numFmtId="0" fontId="9" fillId="28" borderId="121" xfId="0" applyFont="1" applyFill="1" applyBorder="1" applyAlignment="1">
      <alignment horizontal="center" shrinkToFit="1"/>
    </xf>
    <xf numFmtId="0" fontId="9" fillId="28" borderId="261" xfId="0" applyFont="1" applyFill="1" applyBorder="1" applyAlignment="1">
      <alignment horizontal="center" shrinkToFit="1"/>
    </xf>
    <xf numFmtId="0" fontId="9" fillId="28" borderId="225" xfId="0" applyFont="1" applyFill="1" applyBorder="1" applyAlignment="1"/>
    <xf numFmtId="0" fontId="9" fillId="28" borderId="15" xfId="0" applyFont="1" applyFill="1" applyBorder="1" applyAlignment="1">
      <alignment horizontal="right"/>
    </xf>
    <xf numFmtId="0" fontId="9" fillId="0" borderId="308" xfId="0" applyFont="1" applyFill="1" applyBorder="1" applyAlignment="1">
      <alignment horizontal="center"/>
    </xf>
    <xf numFmtId="38" fontId="9" fillId="28" borderId="151" xfId="0" applyNumberFormat="1" applyFont="1" applyFill="1" applyBorder="1" applyAlignment="1">
      <alignment horizontal="right"/>
    </xf>
    <xf numFmtId="179" fontId="9" fillId="11" borderId="151" xfId="0" applyNumberFormat="1" applyFont="1" applyFill="1" applyBorder="1" applyAlignment="1">
      <alignment shrinkToFit="1"/>
    </xf>
    <xf numFmtId="179" fontId="9" fillId="11" borderId="152" xfId="0" applyNumberFormat="1" applyFont="1" applyFill="1" applyBorder="1" applyAlignment="1">
      <alignment shrinkToFit="1"/>
    </xf>
    <xf numFmtId="0" fontId="9" fillId="28" borderId="0" xfId="0" applyFont="1" applyFill="1" applyBorder="1" applyAlignment="1"/>
    <xf numFmtId="179" fontId="9" fillId="23" borderId="82" xfId="0" applyNumberFormat="1" applyFont="1" applyFill="1" applyBorder="1" applyAlignment="1">
      <alignment shrinkToFit="1"/>
    </xf>
    <xf numFmtId="179" fontId="9" fillId="23" borderId="200" xfId="0" applyNumberFormat="1" applyFont="1" applyFill="1" applyBorder="1" applyAlignment="1">
      <alignment shrinkToFit="1"/>
    </xf>
    <xf numFmtId="0" fontId="9" fillId="28" borderId="258" xfId="0" applyFont="1" applyFill="1" applyBorder="1" applyAlignment="1">
      <alignment horizontal="right"/>
    </xf>
    <xf numFmtId="0" fontId="9" fillId="0" borderId="93" xfId="0" applyFont="1" applyFill="1" applyBorder="1" applyAlignment="1">
      <alignment horizontal="center"/>
    </xf>
    <xf numFmtId="38" fontId="9" fillId="28" borderId="89" xfId="0" applyNumberFormat="1" applyFont="1" applyFill="1" applyBorder="1" applyAlignment="1">
      <alignment horizontal="right"/>
    </xf>
    <xf numFmtId="179" fontId="9" fillId="23" borderId="89" xfId="0" applyNumberFormat="1" applyFont="1" applyFill="1" applyBorder="1" applyAlignment="1">
      <alignment shrinkToFit="1"/>
    </xf>
    <xf numFmtId="179" fontId="9" fillId="23" borderId="100" xfId="0" applyNumberFormat="1" applyFont="1" applyFill="1" applyBorder="1" applyAlignment="1">
      <alignment shrinkToFit="1"/>
    </xf>
    <xf numFmtId="0" fontId="9" fillId="28" borderId="225" xfId="0" applyFont="1" applyFill="1" applyBorder="1" applyAlignment="1">
      <alignment horizontal="left"/>
    </xf>
    <xf numFmtId="0" fontId="9" fillId="28" borderId="15" xfId="0" applyFont="1" applyFill="1" applyBorder="1" applyAlignment="1">
      <alignment horizontal="left"/>
    </xf>
    <xf numFmtId="0" fontId="9" fillId="28" borderId="151" xfId="0" applyFont="1" applyFill="1" applyBorder="1" applyAlignment="1">
      <alignment horizontal="center"/>
    </xf>
    <xf numFmtId="0" fontId="4" fillId="28" borderId="178" xfId="0" applyFont="1" applyFill="1" applyBorder="1" applyAlignment="1">
      <alignment horizontal="left"/>
    </xf>
    <xf numFmtId="0" fontId="9" fillId="28" borderId="178" xfId="0" applyFont="1" applyFill="1" applyBorder="1" applyAlignment="1">
      <alignment horizontal="left" shrinkToFit="1"/>
    </xf>
    <xf numFmtId="0" fontId="9" fillId="28" borderId="82" xfId="0" applyFont="1" applyFill="1" applyBorder="1" applyAlignment="1">
      <alignment horizontal="center"/>
    </xf>
    <xf numFmtId="38" fontId="9" fillId="28" borderId="82" xfId="0" applyNumberFormat="1" applyFont="1" applyFill="1" applyBorder="1" applyAlignment="1">
      <alignment horizontal="right" shrinkToFit="1"/>
    </xf>
    <xf numFmtId="38" fontId="9" fillId="28" borderId="200" xfId="0" applyNumberFormat="1" applyFont="1" applyFill="1" applyBorder="1" applyAlignment="1">
      <alignment horizontal="right" shrinkToFit="1"/>
    </xf>
    <xf numFmtId="0" fontId="4" fillId="0" borderId="142" xfId="0" applyFont="1" applyBorder="1" applyAlignment="1"/>
    <xf numFmtId="0" fontId="9" fillId="28" borderId="23" xfId="0" applyFont="1" applyFill="1" applyBorder="1" applyAlignment="1">
      <alignment horizontal="right"/>
    </xf>
    <xf numFmtId="38" fontId="9" fillId="28" borderId="23" xfId="0" applyNumberFormat="1" applyFont="1" applyFill="1" applyBorder="1" applyAlignment="1">
      <alignment horizontal="right" shrinkToFit="1"/>
    </xf>
    <xf numFmtId="38" fontId="9" fillId="28" borderId="31" xfId="0" applyNumberFormat="1" applyFont="1" applyFill="1" applyBorder="1" applyAlignment="1">
      <alignment horizontal="right" shrinkToFit="1"/>
    </xf>
    <xf numFmtId="0" fontId="9" fillId="28" borderId="283" xfId="0" applyFont="1" applyFill="1" applyBorder="1" applyAlignment="1">
      <alignment horizontal="right"/>
    </xf>
    <xf numFmtId="0" fontId="9" fillId="28" borderId="176" xfId="0" applyFont="1" applyFill="1" applyBorder="1" applyAlignment="1">
      <alignment horizontal="left"/>
    </xf>
    <xf numFmtId="0" fontId="9" fillId="28" borderId="85" xfId="0" applyFont="1" applyFill="1" applyBorder="1" applyAlignment="1">
      <alignment horizontal="right"/>
    </xf>
    <xf numFmtId="0" fontId="9" fillId="28" borderId="0" xfId="0" applyFont="1" applyFill="1" applyBorder="1" applyAlignment="1">
      <alignment horizontal="left"/>
    </xf>
    <xf numFmtId="0" fontId="9" fillId="28" borderId="121" xfId="0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 shrinkToFit="1"/>
    </xf>
    <xf numFmtId="38" fontId="9" fillId="28" borderId="204" xfId="0" applyNumberFormat="1" applyFont="1" applyFill="1" applyBorder="1" applyAlignment="1">
      <alignment horizontal="right" shrinkToFit="1"/>
    </xf>
    <xf numFmtId="0" fontId="9" fillId="28" borderId="178" xfId="0" applyFont="1" applyFill="1" applyBorder="1" applyAlignment="1">
      <alignment horizontal="left"/>
    </xf>
    <xf numFmtId="0" fontId="9" fillId="28" borderId="82" xfId="0" applyFont="1" applyFill="1" applyBorder="1" applyAlignment="1">
      <alignment horizontal="right"/>
    </xf>
    <xf numFmtId="0" fontId="9" fillId="20" borderId="226" xfId="0" applyFont="1" applyFill="1" applyBorder="1" applyAlignment="1">
      <alignment horizontal="right"/>
    </xf>
    <xf numFmtId="0" fontId="9" fillId="20" borderId="0" xfId="0" applyFont="1" applyFill="1" applyBorder="1" applyAlignment="1">
      <alignment horizontal="right"/>
    </xf>
    <xf numFmtId="0" fontId="9" fillId="20" borderId="142" xfId="0" applyFont="1" applyFill="1" applyBorder="1" applyAlignment="1">
      <alignment horizontal="left"/>
    </xf>
    <xf numFmtId="0" fontId="9" fillId="20" borderId="23" xfId="0" applyFont="1" applyFill="1" applyBorder="1" applyAlignment="1">
      <alignment horizontal="right"/>
    </xf>
    <xf numFmtId="38" fontId="9" fillId="20" borderId="23" xfId="0" applyNumberFormat="1" applyFont="1" applyFill="1" applyBorder="1" applyAlignment="1">
      <alignment horizontal="right"/>
    </xf>
    <xf numFmtId="38" fontId="9" fillId="20" borderId="23" xfId="0" applyNumberFormat="1" applyFont="1" applyFill="1" applyBorder="1" applyAlignment="1">
      <alignment horizontal="right" shrinkToFit="1"/>
    </xf>
    <xf numFmtId="38" fontId="9" fillId="20" borderId="31" xfId="0" applyNumberFormat="1" applyFont="1" applyFill="1" applyBorder="1" applyAlignment="1">
      <alignment horizontal="right" shrinkToFit="1"/>
    </xf>
    <xf numFmtId="0" fontId="4" fillId="20" borderId="0" xfId="0" applyFont="1" applyFill="1" applyBorder="1" applyAlignment="1"/>
    <xf numFmtId="0" fontId="9" fillId="20" borderId="142" xfId="0" applyFont="1" applyFill="1" applyBorder="1" applyAlignment="1">
      <alignment horizontal="right"/>
    </xf>
    <xf numFmtId="0" fontId="9" fillId="20" borderId="258" xfId="0" applyFont="1" applyFill="1" applyBorder="1" applyAlignment="1">
      <alignment horizontal="right"/>
    </xf>
    <xf numFmtId="0" fontId="9" fillId="20" borderId="139" xfId="0" applyFont="1" applyFill="1" applyBorder="1" applyAlignment="1">
      <alignment horizontal="right"/>
    </xf>
    <xf numFmtId="0" fontId="9" fillId="20" borderId="120" xfId="0" applyFont="1" applyFill="1" applyBorder="1" applyAlignment="1">
      <alignment horizontal="right"/>
    </xf>
    <xf numFmtId="38" fontId="9" fillId="20" borderId="120" xfId="0" applyNumberFormat="1" applyFont="1" applyFill="1" applyBorder="1" applyAlignment="1">
      <alignment horizontal="right"/>
    </xf>
    <xf numFmtId="38" fontId="9" fillId="20" borderId="120" xfId="0" applyNumberFormat="1" applyFont="1" applyFill="1" applyBorder="1" applyAlignment="1">
      <alignment horizontal="right" shrinkToFit="1"/>
    </xf>
    <xf numFmtId="38" fontId="9" fillId="20" borderId="122" xfId="0" applyNumberFormat="1" applyFont="1" applyFill="1" applyBorder="1" applyAlignment="1">
      <alignment horizontal="right" shrinkToFit="1"/>
    </xf>
    <xf numFmtId="0" fontId="9" fillId="28" borderId="14" xfId="0" applyFont="1" applyFill="1" applyBorder="1" applyAlignment="1">
      <alignment horizontal="right"/>
    </xf>
    <xf numFmtId="0" fontId="9" fillId="28" borderId="14" xfId="0" applyFont="1" applyFill="1" applyBorder="1" applyAlignment="1">
      <alignment horizontal="left"/>
    </xf>
    <xf numFmtId="0" fontId="9" fillId="28" borderId="151" xfId="0" applyFont="1" applyFill="1" applyBorder="1" applyAlignment="1">
      <alignment horizontal="right"/>
    </xf>
    <xf numFmtId="38" fontId="9" fillId="28" borderId="151" xfId="0" applyNumberFormat="1" applyFont="1" applyFill="1" applyBorder="1" applyAlignment="1">
      <alignment horizontal="right" shrinkToFit="1"/>
    </xf>
    <xf numFmtId="38" fontId="9" fillId="28" borderId="152" xfId="0" applyNumberFormat="1" applyFont="1" applyFill="1" applyBorder="1" applyAlignment="1">
      <alignment horizontal="right" shrinkToFit="1"/>
    </xf>
    <xf numFmtId="0" fontId="11" fillId="28" borderId="0" xfId="0" applyFont="1" applyFill="1" applyBorder="1" applyAlignment="1">
      <alignment horizontal="left"/>
    </xf>
    <xf numFmtId="0" fontId="52" fillId="28" borderId="0" xfId="0" applyFont="1" applyFill="1" applyBorder="1" applyAlignment="1">
      <alignment horizontal="center"/>
    </xf>
    <xf numFmtId="0" fontId="9" fillId="28" borderId="0" xfId="0" applyFont="1" applyFill="1" applyBorder="1" applyAlignment="1">
      <alignment horizontal="center"/>
    </xf>
    <xf numFmtId="0" fontId="9" fillId="28" borderId="0" xfId="0" applyFont="1" applyFill="1" applyBorder="1" applyAlignment="1">
      <alignment horizontal="left" shrinkToFit="1"/>
    </xf>
    <xf numFmtId="0" fontId="9" fillId="28" borderId="0" xfId="0" applyFont="1" applyFill="1" applyBorder="1" applyAlignment="1">
      <alignment horizontal="right" shrinkToFit="1"/>
    </xf>
    <xf numFmtId="0" fontId="11" fillId="28" borderId="283" xfId="0" applyFont="1" applyFill="1" applyBorder="1" applyAlignment="1">
      <alignment horizontal="left"/>
    </xf>
    <xf numFmtId="0" fontId="52" fillId="28" borderId="0" xfId="0" applyFont="1" applyFill="1" applyBorder="1" applyAlignment="1">
      <alignment horizontal="left"/>
    </xf>
    <xf numFmtId="0" fontId="52" fillId="28" borderId="258" xfId="0" applyFont="1" applyFill="1" applyBorder="1" applyAlignment="1">
      <alignment horizontal="left"/>
    </xf>
    <xf numFmtId="0" fontId="9" fillId="28" borderId="89" xfId="0" applyFont="1" applyFill="1" applyBorder="1" applyAlignment="1">
      <alignment horizontal="center"/>
    </xf>
    <xf numFmtId="0" fontId="9" fillId="28" borderId="89" xfId="0" applyFont="1" applyFill="1" applyBorder="1" applyAlignment="1">
      <alignment horizontal="right"/>
    </xf>
    <xf numFmtId="0" fontId="9" fillId="28" borderId="89" xfId="0" applyFont="1" applyFill="1" applyBorder="1" applyAlignment="1">
      <alignment horizontal="right" shrinkToFit="1"/>
    </xf>
    <xf numFmtId="0" fontId="9" fillId="28" borderId="100" xfId="0" applyFont="1" applyFill="1" applyBorder="1" applyAlignment="1">
      <alignment horizontal="right" shrinkToFit="1"/>
    </xf>
    <xf numFmtId="0" fontId="9" fillId="0" borderId="178" xfId="0" applyFont="1" applyFill="1" applyBorder="1" applyAlignment="1">
      <alignment horizontal="left" shrinkToFit="1"/>
    </xf>
    <xf numFmtId="38" fontId="9" fillId="11" borderId="82" xfId="0" applyNumberFormat="1" applyFont="1" applyFill="1" applyBorder="1" applyAlignment="1">
      <alignment horizontal="right" shrinkToFit="1"/>
    </xf>
    <xf numFmtId="38" fontId="9" fillId="11" borderId="200" xfId="0" applyNumberFormat="1" applyFont="1" applyFill="1" applyBorder="1" applyAlignment="1">
      <alignment horizontal="right" shrinkToFit="1"/>
    </xf>
    <xf numFmtId="0" fontId="9" fillId="0" borderId="142" xfId="0" applyFont="1" applyFill="1" applyBorder="1" applyAlignment="1">
      <alignment horizontal="left" shrinkToFit="1"/>
    </xf>
    <xf numFmtId="0" fontId="9" fillId="28" borderId="142" xfId="0" applyFont="1" applyFill="1" applyBorder="1" applyAlignment="1">
      <alignment horizontal="left" shrinkToFit="1"/>
    </xf>
    <xf numFmtId="0" fontId="24" fillId="0" borderId="142" xfId="0" applyFont="1" applyFill="1" applyBorder="1" applyAlignment="1">
      <alignment horizontal="left"/>
    </xf>
    <xf numFmtId="38" fontId="9" fillId="11" borderId="23" xfId="0" applyNumberFormat="1" applyFont="1" applyFill="1" applyBorder="1" applyAlignment="1">
      <alignment horizontal="right" shrinkToFit="1"/>
    </xf>
    <xf numFmtId="38" fontId="9" fillId="11" borderId="31" xfId="0" applyNumberFormat="1" applyFont="1" applyFill="1" applyBorder="1" applyAlignment="1">
      <alignment horizontal="right" shrinkToFit="1"/>
    </xf>
    <xf numFmtId="0" fontId="75" fillId="27" borderId="142" xfId="0" applyFont="1" applyFill="1" applyBorder="1" applyAlignment="1">
      <alignment horizontal="left" shrinkToFit="1"/>
    </xf>
    <xf numFmtId="0" fontId="9" fillId="27" borderId="142" xfId="0" applyFont="1" applyFill="1" applyBorder="1" applyAlignment="1">
      <alignment horizontal="left" shrinkToFit="1"/>
    </xf>
    <xf numFmtId="0" fontId="9" fillId="0" borderId="142" xfId="0" quotePrefix="1" applyFont="1" applyFill="1" applyBorder="1" applyAlignment="1">
      <alignment horizontal="left" shrinkToFit="1"/>
    </xf>
    <xf numFmtId="0" fontId="9" fillId="28" borderId="52" xfId="0" applyFont="1" applyFill="1" applyBorder="1" applyAlignment="1">
      <alignment horizontal="left" vertical="center" shrinkToFit="1"/>
    </xf>
    <xf numFmtId="191" fontId="9" fillId="0" borderId="140" xfId="0" applyNumberFormat="1" applyFont="1" applyFill="1" applyBorder="1" applyAlignment="1">
      <alignment shrinkToFit="1"/>
    </xf>
    <xf numFmtId="10" fontId="9" fillId="0" borderId="23" xfId="0" applyNumberFormat="1" applyFont="1" applyFill="1" applyBorder="1" applyAlignment="1">
      <alignment horizontal="right" shrinkToFit="1"/>
    </xf>
    <xf numFmtId="0" fontId="9" fillId="28" borderId="142" xfId="0" quotePrefix="1" applyFont="1" applyFill="1" applyBorder="1" applyAlignment="1">
      <alignment horizontal="left" shrinkToFit="1"/>
    </xf>
    <xf numFmtId="0" fontId="4" fillId="28" borderId="142" xfId="0" applyFont="1" applyFill="1" applyBorder="1" applyAlignment="1">
      <alignment horizontal="left" shrinkToFit="1"/>
    </xf>
    <xf numFmtId="0" fontId="4" fillId="28" borderId="23" xfId="0" applyFont="1" applyFill="1" applyBorder="1" applyAlignment="1">
      <alignment horizontal="right"/>
    </xf>
    <xf numFmtId="0" fontId="4" fillId="28" borderId="176" xfId="0" applyFont="1" applyFill="1" applyBorder="1" applyAlignment="1">
      <alignment horizontal="left" shrinkToFit="1"/>
    </xf>
    <xf numFmtId="0" fontId="9" fillId="28" borderId="176" xfId="0" applyFont="1" applyFill="1" applyBorder="1" applyAlignment="1">
      <alignment horizontal="left" shrinkToFit="1"/>
    </xf>
    <xf numFmtId="38" fontId="9" fillId="11" borderId="85" xfId="0" applyNumberFormat="1" applyFont="1" applyFill="1" applyBorder="1" applyAlignment="1">
      <alignment horizontal="right" shrinkToFit="1"/>
    </xf>
    <xf numFmtId="38" fontId="9" fillId="11" borderId="98" xfId="0" applyNumberFormat="1" applyFont="1" applyFill="1" applyBorder="1" applyAlignment="1">
      <alignment horizontal="right" shrinkToFit="1"/>
    </xf>
    <xf numFmtId="0" fontId="69" fillId="0" borderId="0" xfId="0" applyFont="1" applyFill="1" applyBorder="1" applyAlignment="1">
      <alignment horizontal="center"/>
    </xf>
    <xf numFmtId="0" fontId="76" fillId="0" borderId="0" xfId="0" applyFont="1" applyFill="1" applyBorder="1" applyAlignment="1">
      <alignment horizontal="left"/>
    </xf>
    <xf numFmtId="0" fontId="9" fillId="0" borderId="224" xfId="0" applyFont="1" applyFill="1" applyBorder="1" applyAlignment="1">
      <alignment horizontal="right"/>
    </xf>
    <xf numFmtId="0" fontId="9" fillId="0" borderId="225" xfId="0" applyFont="1" applyFill="1" applyBorder="1" applyAlignment="1">
      <alignment horizontal="right"/>
    </xf>
    <xf numFmtId="38" fontId="9" fillId="0" borderId="261" xfId="0" applyNumberFormat="1" applyFont="1" applyFill="1" applyBorder="1" applyAlignment="1">
      <alignment horizontal="right" shrinkToFit="1"/>
    </xf>
    <xf numFmtId="0" fontId="11" fillId="0" borderId="226" xfId="0" applyFont="1" applyFill="1" applyBorder="1" applyAlignment="1">
      <alignment horizontal="left" shrinkToFit="1"/>
    </xf>
    <xf numFmtId="0" fontId="9" fillId="0" borderId="83" xfId="0" applyFont="1" applyFill="1" applyBorder="1" applyAlignment="1"/>
    <xf numFmtId="0" fontId="9" fillId="0" borderId="233" xfId="0" applyFont="1" applyFill="1" applyBorder="1" applyAlignment="1"/>
    <xf numFmtId="10" fontId="9" fillId="0" borderId="231" xfId="0" applyNumberFormat="1" applyFont="1" applyFill="1" applyBorder="1" applyAlignment="1">
      <alignment horizontal="right" shrinkToFit="1"/>
    </xf>
    <xf numFmtId="38" fontId="9" fillId="0" borderId="248" xfId="0" applyNumberFormat="1" applyFont="1" applyFill="1" applyBorder="1" applyAlignment="1">
      <alignment horizontal="right" shrinkToFit="1"/>
    </xf>
    <xf numFmtId="0" fontId="9" fillId="0" borderId="286" xfId="0" applyFont="1" applyFill="1" applyBorder="1" applyAlignment="1">
      <alignment horizontal="center" shrinkToFit="1"/>
    </xf>
    <xf numFmtId="10" fontId="9" fillId="0" borderId="82" xfId="0" quotePrefix="1" applyNumberFormat="1" applyFont="1" applyFill="1" applyBorder="1" applyAlignment="1">
      <alignment horizontal="center" shrinkToFit="1"/>
    </xf>
    <xf numFmtId="38" fontId="9" fillId="0" borderId="82" xfId="3" applyNumberFormat="1" applyFont="1" applyFill="1" applyBorder="1" applyAlignment="1">
      <alignment horizontal="right" shrinkToFit="1"/>
    </xf>
    <xf numFmtId="0" fontId="9" fillId="0" borderId="149" xfId="0" applyFont="1" applyFill="1" applyBorder="1" applyAlignment="1">
      <alignment horizontal="center" shrinkToFit="1"/>
    </xf>
    <xf numFmtId="191" fontId="9" fillId="0" borderId="23" xfId="0" applyNumberFormat="1" applyFont="1" applyFill="1" applyBorder="1" applyAlignment="1">
      <alignment horizontal="right" shrinkToFit="1"/>
    </xf>
    <xf numFmtId="10" fontId="9" fillId="0" borderId="23" xfId="0" quotePrefix="1" applyNumberFormat="1" applyFont="1" applyFill="1" applyBorder="1" applyAlignment="1">
      <alignment horizontal="center" shrinkToFit="1"/>
    </xf>
    <xf numFmtId="38" fontId="9" fillId="0" borderId="23" xfId="3" applyNumberFormat="1" applyFont="1" applyFill="1" applyBorder="1" applyAlignment="1">
      <alignment horizontal="right" shrinkToFit="1"/>
    </xf>
    <xf numFmtId="0" fontId="75" fillId="28" borderId="142" xfId="0" applyFont="1" applyFill="1" applyBorder="1" applyAlignment="1">
      <alignment horizontal="left" shrinkToFit="1"/>
    </xf>
    <xf numFmtId="10" fontId="9" fillId="11" borderId="23" xfId="0" applyNumberFormat="1" applyFont="1" applyFill="1" applyBorder="1" applyAlignment="1">
      <alignment horizontal="right" shrinkToFit="1"/>
    </xf>
    <xf numFmtId="0" fontId="9" fillId="28" borderId="203" xfId="0" applyFont="1" applyFill="1" applyBorder="1" applyAlignment="1">
      <alignment horizontal="center" vertical="center" shrinkToFit="1"/>
    </xf>
    <xf numFmtId="0" fontId="50" fillId="28" borderId="85" xfId="0" applyFont="1" applyFill="1" applyBorder="1" applyAlignment="1">
      <alignment horizontal="left" shrinkToFit="1"/>
    </xf>
    <xf numFmtId="38" fontId="9" fillId="0" borderId="85" xfId="3" applyNumberFormat="1" applyFont="1" applyFill="1" applyBorder="1" applyAlignment="1">
      <alignment horizontal="right" shrinkToFit="1"/>
    </xf>
    <xf numFmtId="0" fontId="11" fillId="0" borderId="14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 shrinkToFit="1"/>
    </xf>
    <xf numFmtId="0" fontId="9" fillId="0" borderId="15" xfId="0" applyFont="1" applyFill="1" applyBorder="1" applyAlignment="1"/>
    <xf numFmtId="38" fontId="9" fillId="0" borderId="15" xfId="0" applyNumberFormat="1" applyFont="1" applyFill="1" applyBorder="1" applyAlignment="1">
      <alignment horizontal="right"/>
    </xf>
    <xf numFmtId="38" fontId="9" fillId="0" borderId="15" xfId="0" applyNumberFormat="1" applyFont="1" applyFill="1" applyBorder="1" applyAlignment="1">
      <alignment horizontal="right" shrinkToFit="1"/>
    </xf>
    <xf numFmtId="38" fontId="9" fillId="0" borderId="123" xfId="0" applyNumberFormat="1" applyFont="1" applyFill="1" applyBorder="1" applyAlignment="1">
      <alignment horizontal="right" shrinkToFit="1"/>
    </xf>
    <xf numFmtId="192" fontId="65" fillId="0" borderId="95" xfId="0" applyNumberFormat="1" applyFont="1" applyFill="1" applyBorder="1" applyAlignment="1">
      <alignment vertical="top" shrinkToFit="1"/>
    </xf>
    <xf numFmtId="10" fontId="4" fillId="0" borderId="31" xfId="2" applyNumberFormat="1" applyFont="1" applyFill="1" applyBorder="1" applyAlignment="1">
      <alignment horizontal="left" shrinkToFit="1"/>
    </xf>
    <xf numFmtId="192" fontId="65" fillId="0" borderId="95" xfId="0" applyNumberFormat="1" applyFont="1" applyFill="1" applyBorder="1" applyAlignment="1">
      <alignment shrinkToFit="1"/>
    </xf>
    <xf numFmtId="191" fontId="9" fillId="0" borderId="23" xfId="0" applyNumberFormat="1" applyFont="1" applyFill="1" applyBorder="1" applyAlignment="1">
      <alignment shrinkToFit="1"/>
    </xf>
    <xf numFmtId="10" fontId="50" fillId="0" borderId="23" xfId="0" applyNumberFormat="1" applyFont="1" applyFill="1" applyBorder="1" applyAlignment="1">
      <alignment horizontal="right" shrinkToFit="1"/>
    </xf>
    <xf numFmtId="9" fontId="9" fillId="0" borderId="23" xfId="0" applyNumberFormat="1" applyFont="1" applyFill="1" applyBorder="1" applyAlignment="1">
      <alignment horizontal="right" shrinkToFit="1"/>
    </xf>
    <xf numFmtId="0" fontId="50" fillId="28" borderId="121" xfId="0" applyFont="1" applyFill="1" applyBorder="1" applyAlignment="1">
      <alignment vertical="center" shrinkToFit="1"/>
    </xf>
    <xf numFmtId="0" fontId="50" fillId="30" borderId="23" xfId="0" applyFont="1" applyFill="1" applyBorder="1" applyAlignment="1">
      <alignment horizontal="left" shrinkToFit="1"/>
    </xf>
    <xf numFmtId="192" fontId="9" fillId="0" borderId="23" xfId="0" applyNumberFormat="1" applyFont="1" applyFill="1" applyBorder="1" applyAlignment="1">
      <alignment shrinkToFit="1"/>
    </xf>
    <xf numFmtId="0" fontId="50" fillId="28" borderId="95" xfId="0" applyFont="1" applyFill="1" applyBorder="1" applyAlignment="1">
      <alignment vertical="center" shrinkToFit="1"/>
    </xf>
    <xf numFmtId="0" fontId="58" fillId="30" borderId="23" xfId="0" applyFont="1" applyFill="1" applyBorder="1" applyAlignment="1">
      <alignment horizontal="left" shrinkToFit="1"/>
    </xf>
    <xf numFmtId="0" fontId="9" fillId="28" borderId="201" xfId="0" applyFont="1" applyFill="1" applyBorder="1" applyAlignment="1">
      <alignment horizontal="center" vertical="center" shrinkToFit="1"/>
    </xf>
    <xf numFmtId="0" fontId="50" fillId="28" borderId="120" xfId="0" applyFont="1" applyFill="1" applyBorder="1" applyAlignment="1">
      <alignment horizontal="left" shrinkToFit="1"/>
    </xf>
    <xf numFmtId="191" fontId="9" fillId="0" borderId="120" xfId="0" applyNumberFormat="1" applyFont="1" applyFill="1" applyBorder="1" applyAlignment="1">
      <alignment shrinkToFit="1"/>
    </xf>
    <xf numFmtId="10" fontId="9" fillId="0" borderId="120" xfId="0" applyNumberFormat="1" applyFont="1" applyFill="1" applyBorder="1" applyAlignment="1">
      <alignment horizontal="right" shrinkToFit="1"/>
    </xf>
    <xf numFmtId="0" fontId="9" fillId="0" borderId="287" xfId="0" applyFont="1" applyFill="1" applyBorder="1" applyAlignment="1">
      <alignment horizontal="center" shrinkToFit="1"/>
    </xf>
    <xf numFmtId="0" fontId="9" fillId="28" borderId="288" xfId="0" applyFont="1" applyFill="1" applyBorder="1" applyAlignment="1">
      <alignment horizontal="center" vertical="center" shrinkToFit="1"/>
    </xf>
    <xf numFmtId="0" fontId="9" fillId="28" borderId="289" xfId="0" applyFont="1" applyFill="1" applyBorder="1" applyAlignment="1">
      <alignment horizontal="left" shrinkToFit="1"/>
    </xf>
    <xf numFmtId="191" fontId="9" fillId="0" borderId="289" xfId="0" applyNumberFormat="1" applyFont="1" applyFill="1" applyBorder="1" applyAlignment="1">
      <alignment shrinkToFit="1"/>
    </xf>
    <xf numFmtId="0" fontId="9" fillId="0" borderId="291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left"/>
    </xf>
    <xf numFmtId="0" fontId="9" fillId="0" borderId="292" xfId="0" applyFont="1" applyFill="1" applyBorder="1" applyAlignment="1">
      <alignment horizontal="right"/>
    </xf>
    <xf numFmtId="0" fontId="9" fillId="0" borderId="175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right"/>
    </xf>
    <xf numFmtId="0" fontId="75" fillId="0" borderId="231" xfId="0" applyFont="1" applyFill="1" applyBorder="1" applyAlignment="1">
      <alignment horizontal="center" wrapText="1"/>
    </xf>
    <xf numFmtId="0" fontId="9" fillId="0" borderId="89" xfId="0" applyFont="1" applyFill="1" applyBorder="1" applyAlignment="1">
      <alignment horizontal="center"/>
    </xf>
    <xf numFmtId="0" fontId="9" fillId="0" borderId="177" xfId="0" applyFont="1" applyFill="1" applyBorder="1" applyAlignment="1">
      <alignment horizontal="right"/>
    </xf>
    <xf numFmtId="0" fontId="9" fillId="0" borderId="178" xfId="0" applyFont="1" applyFill="1" applyBorder="1" applyAlignment="1">
      <alignment horizontal="right"/>
    </xf>
    <xf numFmtId="0" fontId="9" fillId="0" borderId="233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/>
    </xf>
    <xf numFmtId="0" fontId="9" fillId="0" borderId="115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right"/>
    </xf>
    <xf numFmtId="0" fontId="8" fillId="0" borderId="140" xfId="0" applyFont="1" applyFill="1" applyBorder="1" applyAlignment="1">
      <alignment horizontal="left"/>
    </xf>
    <xf numFmtId="0" fontId="9" fillId="0" borderId="23" xfId="0" applyFont="1" applyFill="1" applyBorder="1" applyAlignment="1">
      <alignment horizontal="left"/>
    </xf>
    <xf numFmtId="0" fontId="24" fillId="0" borderId="23" xfId="0" applyFont="1" applyFill="1" applyBorder="1" applyAlignment="1">
      <alignment horizontal="right"/>
    </xf>
    <xf numFmtId="0" fontId="24" fillId="0" borderId="2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right"/>
    </xf>
    <xf numFmtId="0" fontId="11" fillId="0" borderId="89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 shrinkToFit="1"/>
    </xf>
    <xf numFmtId="0" fontId="9" fillId="0" borderId="82" xfId="0" applyFont="1" applyFill="1" applyBorder="1" applyAlignment="1">
      <alignment horizontal="left" shrinkToFit="1"/>
    </xf>
    <xf numFmtId="0" fontId="9" fillId="0" borderId="82" xfId="0" applyFont="1" applyFill="1" applyBorder="1" applyAlignment="1">
      <alignment shrinkToFit="1"/>
    </xf>
    <xf numFmtId="10" fontId="9" fillId="32" borderId="82" xfId="0" quotePrefix="1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>
      <alignment horizontal="right"/>
    </xf>
    <xf numFmtId="180" fontId="9" fillId="0" borderId="23" xfId="0" applyNumberFormat="1" applyFont="1" applyFill="1" applyBorder="1" applyAlignment="1">
      <alignment horizontal="right" shrinkToFit="1"/>
    </xf>
    <xf numFmtId="0" fontId="9" fillId="0" borderId="23" xfId="0" applyNumberFormat="1" applyFont="1" applyFill="1" applyBorder="1" applyAlignment="1">
      <alignment shrinkToFit="1"/>
    </xf>
    <xf numFmtId="0" fontId="9" fillId="0" borderId="23" xfId="0" applyFont="1" applyFill="1" applyBorder="1" applyAlignment="1">
      <alignment horizontal="right" shrinkToFit="1"/>
    </xf>
    <xf numFmtId="0" fontId="9" fillId="0" borderId="23" xfId="0" quotePrefix="1" applyFont="1" applyFill="1" applyBorder="1" applyAlignment="1"/>
    <xf numFmtId="0" fontId="9" fillId="0" borderId="23" xfId="0" applyFont="1" applyFill="1" applyBorder="1" applyAlignment="1">
      <alignment shrinkToFit="1"/>
    </xf>
    <xf numFmtId="0" fontId="9" fillId="0" borderId="23" xfId="0" applyFont="1" applyFill="1" applyBorder="1" applyAlignment="1">
      <alignment horizontal="left" shrinkToFit="1"/>
    </xf>
    <xf numFmtId="0" fontId="9" fillId="0" borderId="120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 shrinkToFit="1"/>
    </xf>
    <xf numFmtId="9" fontId="9" fillId="0" borderId="85" xfId="0" applyNumberFormat="1" applyFont="1" applyFill="1" applyBorder="1" applyAlignment="1">
      <alignment horizontal="right" shrinkToFit="1"/>
    </xf>
    <xf numFmtId="0" fontId="9" fillId="0" borderId="229" xfId="0" applyFont="1" applyFill="1" applyBorder="1" applyAlignment="1">
      <alignment horizontal="right"/>
    </xf>
    <xf numFmtId="0" fontId="9" fillId="0" borderId="231" xfId="0" applyFont="1" applyFill="1" applyBorder="1" applyAlignment="1">
      <alignment horizontal="right" shrinkToFit="1"/>
    </xf>
    <xf numFmtId="0" fontId="9" fillId="0" borderId="82" xfId="0" applyFont="1" applyFill="1" applyBorder="1" applyAlignment="1">
      <alignment horizontal="right" shrinkToFit="1"/>
    </xf>
    <xf numFmtId="0" fontId="11" fillId="0" borderId="89" xfId="0" applyFont="1" applyFill="1" applyBorder="1" applyAlignment="1">
      <alignment horizontal="left" shrinkToFit="1"/>
    </xf>
    <xf numFmtId="0" fontId="9" fillId="0" borderId="85" xfId="0" applyFont="1" applyFill="1" applyBorder="1" applyAlignment="1">
      <alignment horizontal="right" shrinkToFit="1"/>
    </xf>
    <xf numFmtId="0" fontId="9" fillId="0" borderId="226" xfId="0" applyFont="1" applyFill="1" applyBorder="1" applyAlignment="1">
      <alignment horizontal="right"/>
    </xf>
    <xf numFmtId="0" fontId="9" fillId="0" borderId="95" xfId="0" quotePrefix="1" applyFont="1" applyFill="1" applyBorder="1" applyAlignment="1">
      <alignment horizontal="left" shrinkToFit="1"/>
    </xf>
    <xf numFmtId="10" fontId="9" fillId="0" borderId="82" xfId="0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/>
    <xf numFmtId="0" fontId="9" fillId="0" borderId="283" xfId="0" applyFont="1" applyFill="1" applyBorder="1" applyAlignment="1">
      <alignment horizontal="right"/>
    </xf>
    <xf numFmtId="0" fontId="9" fillId="0" borderId="82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left"/>
    </xf>
    <xf numFmtId="0" fontId="9" fillId="0" borderId="294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right"/>
    </xf>
    <xf numFmtId="0" fontId="9" fillId="0" borderId="295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left"/>
    </xf>
    <xf numFmtId="0" fontId="9" fillId="0" borderId="289" xfId="0" applyFont="1" applyFill="1" applyBorder="1" applyAlignment="1">
      <alignment horizontal="right"/>
    </xf>
    <xf numFmtId="38" fontId="9" fillId="0" borderId="234" xfId="0" applyNumberFormat="1" applyFont="1" applyFill="1" applyBorder="1" applyAlignment="1">
      <alignment horizontal="right" shrinkToFit="1"/>
    </xf>
    <xf numFmtId="38" fontId="9" fillId="0" borderId="91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/>
    <xf numFmtId="38" fontId="4" fillId="0" borderId="91" xfId="0" applyNumberFormat="1" applyFont="1" applyFill="1" applyBorder="1" applyAlignment="1">
      <alignment shrinkToFit="1"/>
    </xf>
    <xf numFmtId="176" fontId="4" fillId="0" borderId="261" xfId="0" applyNumberFormat="1" applyFont="1" applyFill="1" applyBorder="1" applyAlignment="1">
      <alignment shrinkToFit="1"/>
    </xf>
    <xf numFmtId="193" fontId="4" fillId="29" borderId="111" xfId="0" applyNumberFormat="1" applyFont="1" applyFill="1" applyBorder="1" applyAlignment="1">
      <alignment horizontal="center"/>
    </xf>
    <xf numFmtId="192" fontId="4" fillId="29" borderId="23" xfId="0" applyNumberFormat="1" applyFont="1" applyFill="1" applyBorder="1" applyAlignment="1" applyProtection="1">
      <alignment horizontal="center" vertical="center"/>
    </xf>
    <xf numFmtId="192" fontId="4" fillId="29" borderId="23" xfId="2" applyNumberFormat="1" applyFont="1" applyFill="1" applyBorder="1" applyAlignment="1" applyProtection="1">
      <alignment horizontal="center" vertical="center"/>
    </xf>
    <xf numFmtId="2" fontId="4" fillId="29" borderId="23" xfId="0" applyNumberFormat="1" applyFont="1" applyFill="1" applyBorder="1" applyAlignment="1" applyProtection="1">
      <alignment horizontal="center" vertical="center"/>
    </xf>
    <xf numFmtId="0" fontId="4" fillId="25" borderId="157" xfId="0" applyFont="1" applyFill="1" applyBorder="1" applyAlignment="1"/>
    <xf numFmtId="0" fontId="4" fillId="25" borderId="128" xfId="0" applyFont="1" applyFill="1" applyBorder="1" applyAlignment="1"/>
    <xf numFmtId="2" fontId="4" fillId="16" borderId="118" xfId="0" applyNumberFormat="1" applyFont="1" applyFill="1" applyBorder="1" applyAlignment="1" applyProtection="1">
      <alignment horizontal="center" vertical="center"/>
    </xf>
    <xf numFmtId="0" fontId="4" fillId="25" borderId="127" xfId="0" applyFont="1" applyFill="1" applyBorder="1" applyAlignment="1"/>
    <xf numFmtId="0" fontId="4" fillId="16" borderId="118" xfId="0" applyFont="1" applyFill="1" applyBorder="1" applyAlignment="1" applyProtection="1">
      <alignment horizontal="center" vertical="center"/>
    </xf>
    <xf numFmtId="0" fontId="4" fillId="29" borderId="0" xfId="0" applyFont="1" applyFill="1" applyAlignment="1">
      <alignment horizontal="center" vertical="center"/>
    </xf>
    <xf numFmtId="192" fontId="4" fillId="29" borderId="52" xfId="2" applyNumberFormat="1" applyFont="1" applyFill="1" applyBorder="1" applyAlignment="1" applyProtection="1">
      <alignment horizontal="center" vertical="center"/>
    </xf>
    <xf numFmtId="0" fontId="4" fillId="16" borderId="127" xfId="0" applyFont="1" applyFill="1" applyBorder="1" applyAlignment="1"/>
    <xf numFmtId="0" fontId="4" fillId="16" borderId="128" xfId="0" applyFont="1" applyFill="1" applyBorder="1" applyAlignment="1"/>
    <xf numFmtId="0" fontId="4" fillId="29" borderId="195" xfId="0" applyFont="1" applyFill="1" applyBorder="1" applyAlignment="1" applyProtection="1">
      <alignment horizontal="center" vertical="center"/>
    </xf>
    <xf numFmtId="0" fontId="4" fillId="16" borderId="299" xfId="0" applyFont="1" applyFill="1" applyBorder="1" applyAlignment="1" applyProtection="1">
      <alignment horizontal="center" vertical="center"/>
    </xf>
    <xf numFmtId="0" fontId="4" fillId="16" borderId="0" xfId="0" applyFont="1" applyFill="1" applyBorder="1" applyAlignment="1" applyProtection="1">
      <alignment horizontal="center" vertical="center"/>
    </xf>
    <xf numFmtId="38" fontId="9" fillId="0" borderId="12" xfId="0" applyNumberFormat="1" applyFont="1" applyFill="1" applyBorder="1" applyAlignment="1">
      <alignment horizontal="center" vertical="center" shrinkToFit="1"/>
    </xf>
    <xf numFmtId="190" fontId="4" fillId="0" borderId="152" xfId="0" applyNumberFormat="1" applyFont="1" applyFill="1" applyBorder="1" applyAlignment="1">
      <alignment horizontal="center" shrinkToFit="1"/>
    </xf>
    <xf numFmtId="0" fontId="9" fillId="28" borderId="248" xfId="0" applyFont="1" applyFill="1" applyBorder="1" applyAlignment="1">
      <alignment horizontal="center" shrinkToFit="1"/>
    </xf>
    <xf numFmtId="0" fontId="9" fillId="28" borderId="234" xfId="0" applyFont="1" applyFill="1" applyBorder="1" applyAlignment="1">
      <alignment horizontal="center" shrinkToFit="1"/>
    </xf>
    <xf numFmtId="179" fontId="9" fillId="31" borderId="151" xfId="0" applyNumberFormat="1" applyFont="1" applyFill="1" applyBorder="1" applyAlignment="1">
      <alignment shrinkToFit="1"/>
    </xf>
    <xf numFmtId="179" fontId="9" fillId="31" borderId="152" xfId="0" applyNumberFormat="1" applyFont="1" applyFill="1" applyBorder="1" applyAlignment="1">
      <alignment shrinkToFit="1"/>
    </xf>
    <xf numFmtId="179" fontId="9" fillId="31" borderId="82" xfId="0" applyNumberFormat="1" applyFont="1" applyFill="1" applyBorder="1" applyAlignment="1">
      <alignment shrinkToFit="1"/>
    </xf>
    <xf numFmtId="179" fontId="9" fillId="31" borderId="89" xfId="0" applyNumberFormat="1" applyFont="1" applyFill="1" applyBorder="1" applyAlignment="1">
      <alignment shrinkToFit="1"/>
    </xf>
    <xf numFmtId="38" fontId="9" fillId="33" borderId="23" xfId="0" applyNumberFormat="1" applyFont="1" applyFill="1" applyBorder="1" applyAlignment="1">
      <alignment horizontal="right" shrinkToFit="1"/>
    </xf>
    <xf numFmtId="0" fontId="24" fillId="28" borderId="142" xfId="0" applyFont="1" applyFill="1" applyBorder="1" applyAlignment="1">
      <alignment horizontal="left"/>
    </xf>
    <xf numFmtId="0" fontId="50" fillId="0" borderId="23" xfId="0" applyFont="1" applyFill="1" applyBorder="1" applyAlignment="1">
      <alignment horizontal="left" shrinkToFit="1"/>
    </xf>
    <xf numFmtId="0" fontId="9" fillId="0" borderId="261" xfId="0" applyFont="1" applyFill="1" applyBorder="1" applyAlignment="1">
      <alignment horizontal="center" shrinkToFit="1"/>
    </xf>
    <xf numFmtId="38" fontId="9" fillId="0" borderId="90" xfId="0" applyNumberFormat="1" applyFont="1" applyFill="1" applyBorder="1" applyAlignment="1">
      <alignment horizontal="right"/>
    </xf>
    <xf numFmtId="38" fontId="9" fillId="0" borderId="92" xfId="0" applyNumberFormat="1" applyFont="1" applyFill="1" applyBorder="1" applyAlignment="1">
      <alignment horizontal="right" shrinkToFit="1"/>
    </xf>
    <xf numFmtId="38" fontId="9" fillId="0" borderId="90" xfId="0" applyNumberFormat="1" applyFont="1" applyFill="1" applyBorder="1" applyAlignment="1">
      <alignment horizontal="right" shrinkToFit="1"/>
    </xf>
    <xf numFmtId="38" fontId="9" fillId="0" borderId="310" xfId="0" applyNumberFormat="1" applyFont="1" applyFill="1" applyBorder="1" applyAlignment="1">
      <alignment horizontal="right" shrinkToFit="1"/>
    </xf>
    <xf numFmtId="193" fontId="4" fillId="29" borderId="59" xfId="0" applyNumberFormat="1" applyFont="1" applyFill="1" applyBorder="1" applyAlignment="1">
      <alignment horizontal="center"/>
    </xf>
    <xf numFmtId="192" fontId="4" fillId="29" borderId="60" xfId="0" applyNumberFormat="1" applyFont="1" applyFill="1" applyBorder="1" applyAlignment="1" applyProtection="1">
      <alignment horizontal="center" vertical="center"/>
    </xf>
    <xf numFmtId="192" fontId="4" fillId="29" borderId="60" xfId="2" applyNumberFormat="1" applyFont="1" applyFill="1" applyBorder="1" applyAlignment="1" applyProtection="1">
      <alignment horizontal="center" vertical="center"/>
    </xf>
    <xf numFmtId="2" fontId="4" fillId="29" borderId="60" xfId="0" applyNumberFormat="1" applyFont="1" applyFill="1" applyBorder="1" applyAlignment="1" applyProtection="1">
      <alignment horizontal="center" vertical="center"/>
    </xf>
    <xf numFmtId="2" fontId="4" fillId="16" borderId="58" xfId="0" applyNumberFormat="1" applyFont="1" applyFill="1" applyBorder="1" applyAlignment="1" applyProtection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</xf>
    <xf numFmtId="0" fontId="4" fillId="0" borderId="0" xfId="0" applyFont="1" applyBorder="1" applyAlignment="1">
      <alignment vertical="center" shrinkToFit="1"/>
    </xf>
    <xf numFmtId="0" fontId="77" fillId="0" borderId="0" xfId="0" applyFont="1" applyFill="1" applyBorder="1" applyAlignment="1">
      <alignment horizontal="right" vertical="center"/>
    </xf>
    <xf numFmtId="0" fontId="77" fillId="0" borderId="0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righ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0" xfId="0" applyFont="1" applyAlignment="1">
      <alignment vertical="center" shrinkToFit="1"/>
    </xf>
    <xf numFmtId="0" fontId="81" fillId="0" borderId="0" xfId="0" applyFont="1" applyFill="1" applyBorder="1" applyAlignment="1">
      <alignment horizontal="right" shrinkToFit="1"/>
    </xf>
    <xf numFmtId="0" fontId="82" fillId="34" borderId="225" xfId="0" applyFont="1" applyFill="1" applyBorder="1" applyAlignment="1">
      <alignment horizontal="center" vertical="center" shrinkToFit="1"/>
    </xf>
    <xf numFmtId="0" fontId="80" fillId="0" borderId="0" xfId="0" applyFont="1" applyFill="1"/>
    <xf numFmtId="0" fontId="80" fillId="0" borderId="0" xfId="0" applyFont="1" applyFill="1" applyBorder="1"/>
    <xf numFmtId="0" fontId="85" fillId="27" borderId="12" xfId="0" applyFont="1" applyFill="1" applyBorder="1" applyAlignment="1">
      <alignment horizontal="center" vertical="center" shrinkToFit="1"/>
    </xf>
    <xf numFmtId="0" fontId="77" fillId="0" borderId="0" xfId="0" applyFont="1" applyFill="1" applyBorder="1" applyAlignment="1">
      <alignment horizontal="right" vertical="center" shrinkToFit="1"/>
    </xf>
    <xf numFmtId="0" fontId="77" fillId="0" borderId="224" xfId="0" applyFont="1" applyFill="1" applyBorder="1" applyAlignment="1">
      <alignment horizontal="right" vertical="center"/>
    </xf>
    <xf numFmtId="0" fontId="77" fillId="0" borderId="225" xfId="0" applyFont="1" applyFill="1" applyBorder="1" applyAlignment="1">
      <alignment horizontal="right" vertical="center"/>
    </xf>
    <xf numFmtId="0" fontId="86" fillId="0" borderId="225" xfId="0" applyFont="1" applyBorder="1" applyAlignment="1">
      <alignment vertical="center"/>
    </xf>
    <xf numFmtId="0" fontId="87" fillId="0" borderId="225" xfId="0" applyFont="1" applyFill="1" applyBorder="1" applyAlignment="1">
      <alignment horizontal="center" vertical="center"/>
    </xf>
    <xf numFmtId="0" fontId="77" fillId="0" borderId="225" xfId="0" applyFont="1" applyFill="1" applyBorder="1" applyAlignment="1">
      <alignment horizontal="center" vertical="center"/>
    </xf>
    <xf numFmtId="0" fontId="86" fillId="0" borderId="82" xfId="0" applyFont="1" applyFill="1" applyBorder="1" applyAlignment="1">
      <alignment horizontal="right"/>
    </xf>
    <xf numFmtId="0" fontId="85" fillId="27" borderId="231" xfId="0" applyFont="1" applyFill="1" applyBorder="1" applyAlignment="1">
      <alignment horizontal="center" vertical="center" shrinkToFit="1"/>
    </xf>
    <xf numFmtId="0" fontId="85" fillId="27" borderId="248" xfId="0" applyFont="1" applyFill="1" applyBorder="1" applyAlignment="1">
      <alignment horizontal="center" vertical="center" shrinkToFit="1"/>
    </xf>
    <xf numFmtId="177" fontId="77" fillId="0" borderId="231" xfId="0" applyNumberFormat="1" applyFont="1" applyFill="1" applyBorder="1" applyAlignment="1">
      <alignment horizontal="right" vertical="center"/>
    </xf>
    <xf numFmtId="177" fontId="77" fillId="0" borderId="231" xfId="0" applyNumberFormat="1" applyFont="1" applyFill="1" applyBorder="1" applyAlignment="1">
      <alignment vertical="center" shrinkToFit="1"/>
    </xf>
    <xf numFmtId="177" fontId="77" fillId="0" borderId="231" xfId="0" applyNumberFormat="1" applyFont="1" applyFill="1" applyBorder="1" applyAlignment="1">
      <alignment horizontal="right" vertical="center" shrinkToFit="1"/>
    </xf>
    <xf numFmtId="177" fontId="77" fillId="0" borderId="248" xfId="0" applyNumberFormat="1" applyFont="1" applyFill="1" applyBorder="1" applyAlignment="1">
      <alignment vertical="center" shrinkToFit="1"/>
    </xf>
    <xf numFmtId="0" fontId="77" fillId="0" borderId="226" xfId="0" applyFont="1" applyFill="1" applyBorder="1" applyAlignment="1">
      <alignment horizontal="right" vertical="center"/>
    </xf>
    <xf numFmtId="0" fontId="77" fillId="0" borderId="139" xfId="0" applyFont="1" applyFill="1" applyBorder="1" applyAlignment="1">
      <alignment horizontal="center" vertical="center"/>
    </xf>
    <xf numFmtId="177" fontId="77" fillId="0" borderId="120" xfId="0" applyNumberFormat="1" applyFont="1" applyFill="1" applyBorder="1" applyAlignment="1">
      <alignment horizontal="right" vertical="center"/>
    </xf>
    <xf numFmtId="177" fontId="77" fillId="0" borderId="120" xfId="0" applyNumberFormat="1" applyFont="1" applyFill="1" applyBorder="1" applyAlignment="1">
      <alignment vertical="center" shrinkToFit="1"/>
    </xf>
    <xf numFmtId="177" fontId="77" fillId="0" borderId="120" xfId="0" applyNumberFormat="1" applyFont="1" applyFill="1" applyBorder="1" applyAlignment="1">
      <alignment horizontal="right" vertical="center" shrinkToFit="1"/>
    </xf>
    <xf numFmtId="177" fontId="77" fillId="0" borderId="259" xfId="0" applyNumberFormat="1" applyFont="1" applyFill="1" applyBorder="1" applyAlignment="1">
      <alignment vertical="center" shrinkToFit="1"/>
    </xf>
    <xf numFmtId="0" fontId="77" fillId="0" borderId="14" xfId="0" applyFont="1" applyFill="1" applyBorder="1" applyAlignment="1">
      <alignment horizontal="right" vertical="center"/>
    </xf>
    <xf numFmtId="0" fontId="77" fillId="0" borderId="15" xfId="0" applyFont="1" applyFill="1" applyBorder="1" applyAlignment="1">
      <alignment horizontal="center" vertical="center"/>
    </xf>
    <xf numFmtId="177" fontId="77" fillId="0" borderId="151" xfId="0" applyNumberFormat="1" applyFont="1" applyFill="1" applyBorder="1" applyAlignment="1">
      <alignment horizontal="right" vertical="center"/>
    </xf>
    <xf numFmtId="177" fontId="77" fillId="0" borderId="151" xfId="0" applyNumberFormat="1" applyFont="1" applyFill="1" applyBorder="1" applyAlignment="1">
      <alignment vertical="center" shrinkToFit="1"/>
    </xf>
    <xf numFmtId="177" fontId="77" fillId="0" borderId="151" xfId="0" applyNumberFormat="1" applyFont="1" applyFill="1" applyBorder="1" applyAlignment="1">
      <alignment horizontal="right" vertical="center" shrinkToFit="1"/>
    </xf>
    <xf numFmtId="177" fontId="77" fillId="0" borderId="123" xfId="0" applyNumberFormat="1" applyFont="1" applyFill="1" applyBorder="1" applyAlignment="1">
      <alignment vertical="center" shrinkToFit="1"/>
    </xf>
    <xf numFmtId="0" fontId="77" fillId="28" borderId="0" xfId="0" applyFont="1" applyFill="1" applyBorder="1" applyAlignment="1">
      <alignment horizontal="right" vertical="center"/>
    </xf>
    <xf numFmtId="0" fontId="89" fillId="28" borderId="0" xfId="0" applyFont="1" applyFill="1" applyBorder="1" applyAlignment="1">
      <alignment horizontal="distributed" vertical="center"/>
    </xf>
    <xf numFmtId="0" fontId="89" fillId="28" borderId="0" xfId="0" applyFont="1" applyFill="1" applyBorder="1" applyAlignment="1">
      <alignment horizontal="left" vertical="center"/>
    </xf>
    <xf numFmtId="0" fontId="87" fillId="28" borderId="0" xfId="0" applyFont="1" applyFill="1" applyBorder="1" applyAlignment="1">
      <alignment horizontal="center" vertical="center"/>
    </xf>
    <xf numFmtId="0" fontId="77" fillId="28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>
      <alignment horizontal="left" vertical="center"/>
    </xf>
    <xf numFmtId="0" fontId="77" fillId="28" borderId="0" xfId="0" applyFont="1" applyFill="1" applyBorder="1" applyAlignment="1">
      <alignment vertical="center"/>
    </xf>
    <xf numFmtId="0" fontId="77" fillId="28" borderId="0" xfId="0" applyFont="1" applyFill="1" applyBorder="1" applyAlignment="1">
      <alignment horizontal="right" vertical="center" shrinkToFit="1"/>
    </xf>
    <xf numFmtId="0" fontId="77" fillId="28" borderId="234" xfId="0" applyFont="1" applyFill="1" applyBorder="1" applyAlignment="1">
      <alignment horizontal="right" vertical="center" shrinkToFit="1"/>
    </xf>
    <xf numFmtId="0" fontId="86" fillId="0" borderId="177" xfId="0" applyFont="1" applyFill="1" applyBorder="1" applyAlignment="1">
      <alignment horizontal="right"/>
    </xf>
    <xf numFmtId="0" fontId="86" fillId="0" borderId="178" xfId="0" applyFont="1" applyFill="1" applyBorder="1" applyAlignment="1">
      <alignment horizontal="right"/>
    </xf>
    <xf numFmtId="0" fontId="86" fillId="0" borderId="178" xfId="0" applyFont="1" applyFill="1" applyBorder="1" applyAlignment="1">
      <alignment horizontal="distributed"/>
    </xf>
    <xf numFmtId="190" fontId="86" fillId="0" borderId="82" xfId="0" applyNumberFormat="1" applyFont="1" applyFill="1" applyBorder="1" applyAlignment="1">
      <alignment horizontal="center" shrinkToFit="1"/>
    </xf>
    <xf numFmtId="190" fontId="86" fillId="0" borderId="200" xfId="0" applyNumberFormat="1" applyFont="1" applyFill="1" applyBorder="1" applyAlignment="1">
      <alignment horizontal="center" shrinkToFit="1"/>
    </xf>
    <xf numFmtId="0" fontId="86" fillId="0" borderId="175" xfId="0" applyFont="1" applyFill="1" applyBorder="1" applyAlignment="1">
      <alignment horizontal="right"/>
    </xf>
    <xf numFmtId="0" fontId="86" fillId="0" borderId="176" xfId="0" applyFont="1" applyFill="1" applyBorder="1" applyAlignment="1">
      <alignment horizontal="right"/>
    </xf>
    <xf numFmtId="0" fontId="86" fillId="0" borderId="176" xfId="0" applyFont="1" applyFill="1" applyBorder="1" applyAlignment="1">
      <alignment horizontal="distributed" vertical="center"/>
    </xf>
    <xf numFmtId="190" fontId="86" fillId="0" borderId="85" xfId="0" applyNumberFormat="1" applyFont="1" applyFill="1" applyBorder="1" applyAlignment="1">
      <alignment horizontal="center" shrinkToFit="1"/>
    </xf>
    <xf numFmtId="190" fontId="86" fillId="0" borderId="98" xfId="0" applyNumberFormat="1" applyFont="1" applyFill="1" applyBorder="1" applyAlignment="1">
      <alignment horizontal="center" shrinkToFit="1"/>
    </xf>
    <xf numFmtId="0" fontId="77" fillId="28" borderId="226" xfId="0" applyFont="1" applyFill="1" applyBorder="1" applyAlignment="1">
      <alignment horizontal="right" vertical="center"/>
    </xf>
    <xf numFmtId="38" fontId="82" fillId="0" borderId="23" xfId="0" applyNumberFormat="1" applyFont="1" applyFill="1" applyBorder="1" applyAlignment="1">
      <alignment horizontal="center" shrinkToFit="1"/>
    </xf>
    <xf numFmtId="38" fontId="82" fillId="0" borderId="200" xfId="0" applyNumberFormat="1" applyFont="1" applyFill="1" applyBorder="1" applyAlignment="1">
      <alignment horizontal="center" shrinkToFit="1"/>
    </xf>
    <xf numFmtId="0" fontId="86" fillId="0" borderId="0" xfId="0" applyFont="1" applyFill="1" applyBorder="1" applyAlignment="1">
      <alignment vertical="center"/>
    </xf>
    <xf numFmtId="38" fontId="86" fillId="0" borderId="95" xfId="0" applyNumberFormat="1" applyFont="1" applyFill="1" applyBorder="1" applyAlignment="1">
      <alignment horizontal="center" vertical="center" shrinkToFit="1"/>
    </xf>
    <xf numFmtId="38" fontId="86" fillId="0" borderId="99" xfId="0" applyNumberFormat="1" applyFont="1" applyFill="1" applyBorder="1" applyAlignment="1">
      <alignment horizontal="center" vertical="center" shrinkToFit="1"/>
    </xf>
    <xf numFmtId="38" fontId="86" fillId="0" borderId="89" xfId="0" applyNumberFormat="1" applyFont="1" applyFill="1" applyBorder="1" applyAlignment="1">
      <alignment horizontal="center" vertical="center" shrinkToFit="1"/>
    </xf>
    <xf numFmtId="38" fontId="86" fillId="0" borderId="98" xfId="0" applyNumberFormat="1" applyFont="1" applyFill="1" applyBorder="1" applyAlignment="1">
      <alignment horizontal="center" vertical="center" shrinkToFit="1"/>
    </xf>
    <xf numFmtId="0" fontId="77" fillId="28" borderId="224" xfId="0" applyFont="1" applyFill="1" applyBorder="1" applyAlignment="1">
      <alignment horizontal="right"/>
    </xf>
    <xf numFmtId="0" fontId="86" fillId="28" borderId="178" xfId="0" applyFont="1" applyFill="1" applyBorder="1" applyAlignment="1"/>
    <xf numFmtId="0" fontId="77" fillId="28" borderId="178" xfId="0" applyFont="1" applyFill="1" applyBorder="1" applyAlignment="1">
      <alignment horizontal="right"/>
    </xf>
    <xf numFmtId="0" fontId="77" fillId="0" borderId="83" xfId="0" applyFont="1" applyFill="1" applyBorder="1" applyAlignment="1">
      <alignment horizontal="center"/>
    </xf>
    <xf numFmtId="38" fontId="77" fillId="28" borderId="82" xfId="0" applyNumberFormat="1" applyFont="1" applyFill="1" applyBorder="1" applyAlignment="1">
      <alignment horizontal="right"/>
    </xf>
    <xf numFmtId="179" fontId="77" fillId="27" borderId="82" xfId="0" applyNumberFormat="1" applyFont="1" applyFill="1" applyBorder="1" applyAlignment="1">
      <alignment shrinkToFit="1"/>
    </xf>
    <xf numFmtId="179" fontId="77" fillId="27" borderId="200" xfId="0" applyNumberFormat="1" applyFont="1" applyFill="1" applyBorder="1" applyAlignment="1">
      <alignment shrinkToFit="1"/>
    </xf>
    <xf numFmtId="0" fontId="86" fillId="0" borderId="0" xfId="0" applyFont="1" applyFill="1" applyBorder="1" applyAlignment="1"/>
    <xf numFmtId="0" fontId="77" fillId="28" borderId="226" xfId="0" applyFont="1" applyFill="1" applyBorder="1" applyAlignment="1">
      <alignment horizontal="right"/>
    </xf>
    <xf numFmtId="0" fontId="86" fillId="28" borderId="142" xfId="0" applyFont="1" applyFill="1" applyBorder="1" applyAlignment="1"/>
    <xf numFmtId="0" fontId="77" fillId="28" borderId="142" xfId="0" applyFont="1" applyFill="1" applyBorder="1" applyAlignment="1">
      <alignment horizontal="right"/>
    </xf>
    <xf numFmtId="0" fontId="77" fillId="0" borderId="52" xfId="0" applyFont="1" applyFill="1" applyBorder="1" applyAlignment="1">
      <alignment horizontal="center"/>
    </xf>
    <xf numFmtId="38" fontId="77" fillId="28" borderId="23" xfId="0" applyNumberFormat="1" applyFont="1" applyFill="1" applyBorder="1" applyAlignment="1">
      <alignment horizontal="right"/>
    </xf>
    <xf numFmtId="179" fontId="77" fillId="16" borderId="23" xfId="0" applyNumberFormat="1" applyFont="1" applyFill="1" applyBorder="1" applyAlignment="1">
      <alignment shrinkToFit="1"/>
    </xf>
    <xf numFmtId="179" fontId="77" fillId="16" borderId="31" xfId="0" applyNumberFormat="1" applyFont="1" applyFill="1" applyBorder="1" applyAlignment="1">
      <alignment shrinkToFit="1"/>
    </xf>
    <xf numFmtId="0" fontId="86" fillId="20" borderId="142" xfId="0" applyFont="1" applyFill="1" applyBorder="1" applyAlignment="1">
      <alignment horizontal="left" vertical="center"/>
    </xf>
    <xf numFmtId="0" fontId="77" fillId="20" borderId="139" xfId="0" applyFont="1" applyFill="1" applyBorder="1" applyAlignment="1">
      <alignment horizontal="right"/>
    </xf>
    <xf numFmtId="0" fontId="77" fillId="0" borderId="169" xfId="0" applyFont="1" applyFill="1" applyBorder="1" applyAlignment="1">
      <alignment horizontal="center"/>
    </xf>
    <xf numFmtId="38" fontId="77" fillId="20" borderId="120" xfId="0" applyNumberFormat="1" applyFont="1" applyFill="1" applyBorder="1" applyAlignment="1">
      <alignment horizontal="right"/>
    </xf>
    <xf numFmtId="179" fontId="77" fillId="16" borderId="120" xfId="0" applyNumberFormat="1" applyFont="1" applyFill="1" applyBorder="1" applyAlignment="1">
      <alignment shrinkToFit="1"/>
    </xf>
    <xf numFmtId="179" fontId="77" fillId="16" borderId="122" xfId="0" applyNumberFormat="1" applyFont="1" applyFill="1" applyBorder="1" applyAlignment="1">
      <alignment shrinkToFit="1"/>
    </xf>
    <xf numFmtId="179" fontId="77" fillId="27" borderId="120" xfId="0" applyNumberFormat="1" applyFont="1" applyFill="1" applyBorder="1" applyAlignment="1">
      <alignment shrinkToFit="1"/>
    </xf>
    <xf numFmtId="179" fontId="77" fillId="27" borderId="122" xfId="0" applyNumberFormat="1" applyFont="1" applyFill="1" applyBorder="1" applyAlignment="1">
      <alignment shrinkToFit="1"/>
    </xf>
    <xf numFmtId="0" fontId="86" fillId="0" borderId="176" xfId="0" applyFont="1" applyBorder="1" applyAlignment="1">
      <alignment vertical="center"/>
    </xf>
    <xf numFmtId="0" fontId="77" fillId="28" borderId="176" xfId="0" applyFont="1" applyFill="1" applyBorder="1" applyAlignment="1">
      <alignment horizontal="right"/>
    </xf>
    <xf numFmtId="0" fontId="77" fillId="0" borderId="86" xfId="0" applyFont="1" applyFill="1" applyBorder="1" applyAlignment="1">
      <alignment horizontal="center"/>
    </xf>
    <xf numFmtId="38" fontId="77" fillId="28" borderId="85" xfId="0" applyNumberFormat="1" applyFont="1" applyFill="1" applyBorder="1" applyAlignment="1">
      <alignment horizontal="right"/>
    </xf>
    <xf numFmtId="179" fontId="77" fillId="27" borderId="85" xfId="0" applyNumberFormat="1" applyFont="1" applyFill="1" applyBorder="1" applyAlignment="1">
      <alignment shrinkToFit="1"/>
    </xf>
    <xf numFmtId="179" fontId="77" fillId="27" borderId="98" xfId="0" applyNumberFormat="1" applyFont="1" applyFill="1" applyBorder="1" applyAlignment="1">
      <alignment shrinkToFit="1"/>
    </xf>
    <xf numFmtId="0" fontId="77" fillId="28" borderId="174" xfId="0" applyFont="1" applyFill="1" applyBorder="1" applyAlignment="1">
      <alignment horizontal="right"/>
    </xf>
    <xf numFmtId="0" fontId="91" fillId="28" borderId="141" xfId="0" applyFont="1" applyFill="1" applyBorder="1" applyAlignment="1"/>
    <xf numFmtId="0" fontId="77" fillId="28" borderId="141" xfId="0" applyFont="1" applyFill="1" applyBorder="1" applyAlignment="1">
      <alignment horizontal="right"/>
    </xf>
    <xf numFmtId="0" fontId="77" fillId="0" borderId="96" xfId="0" applyFont="1" applyFill="1" applyBorder="1" applyAlignment="1">
      <alignment horizontal="center"/>
    </xf>
    <xf numFmtId="38" fontId="77" fillId="28" borderId="95" xfId="0" applyNumberFormat="1" applyFont="1" applyFill="1" applyBorder="1" applyAlignment="1">
      <alignment horizontal="right"/>
    </xf>
    <xf numFmtId="179" fontId="77" fillId="16" borderId="95" xfId="0" applyNumberFormat="1" applyFont="1" applyFill="1" applyBorder="1" applyAlignment="1">
      <alignment shrinkToFit="1"/>
    </xf>
    <xf numFmtId="179" fontId="77" fillId="16" borderId="99" xfId="0" applyNumberFormat="1" applyFont="1" applyFill="1" applyBorder="1" applyAlignment="1">
      <alignment shrinkToFit="1"/>
    </xf>
    <xf numFmtId="179" fontId="77" fillId="0" borderId="95" xfId="0" applyNumberFormat="1" applyFont="1" applyFill="1" applyBorder="1" applyAlignment="1">
      <alignment shrinkToFit="1"/>
    </xf>
    <xf numFmtId="179" fontId="77" fillId="0" borderId="99" xfId="0" applyNumberFormat="1" applyFont="1" applyFill="1" applyBorder="1" applyAlignment="1">
      <alignment shrinkToFit="1"/>
    </xf>
    <xf numFmtId="0" fontId="91" fillId="28" borderId="176" xfId="0" applyFont="1" applyFill="1" applyBorder="1" applyAlignment="1"/>
    <xf numFmtId="194" fontId="77" fillId="28" borderId="85" xfId="0" applyNumberFormat="1" applyFont="1" applyFill="1" applyBorder="1" applyAlignment="1">
      <alignment horizontal="right"/>
    </xf>
    <xf numFmtId="179" fontId="77" fillId="16" borderId="85" xfId="0" applyNumberFormat="1" applyFont="1" applyFill="1" applyBorder="1" applyAlignment="1">
      <alignment shrinkToFit="1"/>
    </xf>
    <xf numFmtId="179" fontId="77" fillId="16" borderId="98" xfId="0" applyNumberFormat="1" applyFont="1" applyFill="1" applyBorder="1" applyAlignment="1">
      <alignment shrinkToFit="1"/>
    </xf>
    <xf numFmtId="0" fontId="87" fillId="28" borderId="224" xfId="0" applyFont="1" applyFill="1" applyBorder="1" applyAlignment="1">
      <alignment horizontal="left" vertical="center"/>
    </xf>
    <xf numFmtId="0" fontId="92" fillId="28" borderId="225" xfId="0" applyFont="1" applyFill="1" applyBorder="1" applyAlignment="1">
      <alignment horizontal="right" vertical="center"/>
    </xf>
    <xf numFmtId="0" fontId="91" fillId="28" borderId="229" xfId="0" applyFont="1" applyFill="1" applyBorder="1" applyAlignment="1">
      <alignment horizontal="right" vertical="center"/>
    </xf>
    <xf numFmtId="0" fontId="91" fillId="0" borderId="231" xfId="0" applyFont="1" applyBorder="1" applyAlignment="1">
      <alignment vertical="center"/>
    </xf>
    <xf numFmtId="0" fontId="91" fillId="0" borderId="232" xfId="0" applyFont="1" applyBorder="1" applyAlignment="1">
      <alignment vertical="center"/>
    </xf>
    <xf numFmtId="0" fontId="92" fillId="28" borderId="149" xfId="0" applyFont="1" applyFill="1" applyBorder="1" applyAlignment="1">
      <alignment horizontal="center" vertical="center"/>
    </xf>
    <xf numFmtId="0" fontId="92" fillId="20" borderId="82" xfId="0" applyFont="1" applyFill="1" applyBorder="1" applyAlignment="1">
      <alignment horizontal="left" vertical="center" shrinkToFit="1"/>
    </xf>
    <xf numFmtId="0" fontId="92" fillId="28" borderId="82" xfId="0" applyFont="1" applyFill="1" applyBorder="1" applyAlignment="1">
      <alignment horizontal="right" vertical="center"/>
    </xf>
    <xf numFmtId="177" fontId="92" fillId="28" borderId="82" xfId="0" applyNumberFormat="1" applyFont="1" applyFill="1" applyBorder="1" applyAlignment="1">
      <alignment horizontal="right" vertical="center"/>
    </xf>
    <xf numFmtId="177" fontId="92" fillId="16" borderId="82" xfId="0" applyNumberFormat="1" applyFont="1" applyFill="1" applyBorder="1" applyAlignment="1">
      <alignment horizontal="right" vertical="center" shrinkToFit="1"/>
    </xf>
    <xf numFmtId="177" fontId="92" fillId="16" borderId="200" xfId="0" applyNumberFormat="1" applyFont="1" applyFill="1" applyBorder="1" applyAlignment="1">
      <alignment horizontal="right" vertical="center" shrinkToFit="1"/>
    </xf>
    <xf numFmtId="0" fontId="92" fillId="20" borderId="23" xfId="0" applyFont="1" applyFill="1" applyBorder="1" applyAlignment="1">
      <alignment horizontal="left" vertical="center" shrinkToFit="1"/>
    </xf>
    <xf numFmtId="0" fontId="92" fillId="20" borderId="95" xfId="0" applyFont="1" applyFill="1" applyBorder="1" applyAlignment="1">
      <alignment horizontal="left" vertical="center" shrinkToFit="1"/>
    </xf>
    <xf numFmtId="0" fontId="92" fillId="28" borderId="95" xfId="0" applyFont="1" applyFill="1" applyBorder="1" applyAlignment="1">
      <alignment horizontal="right" vertical="center"/>
    </xf>
    <xf numFmtId="177" fontId="92" fillId="28" borderId="95" xfId="0" applyNumberFormat="1" applyFont="1" applyFill="1" applyBorder="1" applyAlignment="1">
      <alignment horizontal="right" vertical="center"/>
    </xf>
    <xf numFmtId="177" fontId="92" fillId="16" borderId="95" xfId="0" applyNumberFormat="1" applyFont="1" applyFill="1" applyBorder="1" applyAlignment="1">
      <alignment horizontal="right" vertical="center" shrinkToFit="1"/>
    </xf>
    <xf numFmtId="177" fontId="92" fillId="16" borderId="99" xfId="0" applyNumberFormat="1" applyFont="1" applyFill="1" applyBorder="1" applyAlignment="1">
      <alignment horizontal="right" vertical="center" shrinkToFit="1"/>
    </xf>
    <xf numFmtId="0" fontId="92" fillId="20" borderId="85" xfId="0" applyFont="1" applyFill="1" applyBorder="1" applyAlignment="1">
      <alignment horizontal="left" vertical="center" shrinkToFit="1"/>
    </xf>
    <xf numFmtId="0" fontId="92" fillId="28" borderId="85" xfId="0" applyFont="1" applyFill="1" applyBorder="1" applyAlignment="1">
      <alignment horizontal="right" vertical="center"/>
    </xf>
    <xf numFmtId="177" fontId="92" fillId="28" borderId="85" xfId="0" applyNumberFormat="1" applyFont="1" applyFill="1" applyBorder="1" applyAlignment="1">
      <alignment horizontal="right" vertical="center"/>
    </xf>
    <xf numFmtId="177" fontId="92" fillId="16" borderId="85" xfId="0" applyNumberFormat="1" applyFont="1" applyFill="1" applyBorder="1" applyAlignment="1">
      <alignment horizontal="right" vertical="center" shrinkToFit="1"/>
    </xf>
    <xf numFmtId="177" fontId="92" fillId="16" borderId="98" xfId="0" applyNumberFormat="1" applyFont="1" applyFill="1" applyBorder="1" applyAlignment="1">
      <alignment horizontal="right" vertical="center" shrinkToFit="1"/>
    </xf>
    <xf numFmtId="9" fontId="92" fillId="28" borderId="82" xfId="0" applyNumberFormat="1" applyFont="1" applyFill="1" applyBorder="1" applyAlignment="1">
      <alignment horizontal="right" vertical="center"/>
    </xf>
    <xf numFmtId="9" fontId="92" fillId="28" borderId="23" xfId="0" applyNumberFormat="1" applyFont="1" applyFill="1" applyBorder="1" applyAlignment="1">
      <alignment horizontal="right" vertical="center"/>
    </xf>
    <xf numFmtId="177" fontId="92" fillId="28" borderId="23" xfId="0" applyNumberFormat="1" applyFont="1" applyFill="1" applyBorder="1" applyAlignment="1">
      <alignment horizontal="right" vertical="center"/>
    </xf>
    <xf numFmtId="177" fontId="92" fillId="27" borderId="23" xfId="0" applyNumberFormat="1" applyFont="1" applyFill="1" applyBorder="1" applyAlignment="1">
      <alignment horizontal="right" vertical="center" shrinkToFit="1"/>
    </xf>
    <xf numFmtId="177" fontId="92" fillId="27" borderId="31" xfId="0" applyNumberFormat="1" applyFont="1" applyFill="1" applyBorder="1" applyAlignment="1">
      <alignment horizontal="right" vertical="center" shrinkToFit="1"/>
    </xf>
    <xf numFmtId="177" fontId="92" fillId="0" borderId="23" xfId="0" applyNumberFormat="1" applyFont="1" applyFill="1" applyBorder="1" applyAlignment="1">
      <alignment horizontal="right" vertical="center" shrinkToFit="1"/>
    </xf>
    <xf numFmtId="177" fontId="92" fillId="0" borderId="31" xfId="0" applyNumberFormat="1" applyFont="1" applyFill="1" applyBorder="1" applyAlignment="1">
      <alignment horizontal="right" vertical="center" shrinkToFit="1"/>
    </xf>
    <xf numFmtId="177" fontId="92" fillId="0" borderId="85" xfId="0" applyNumberFormat="1" applyFont="1" applyFill="1" applyBorder="1" applyAlignment="1">
      <alignment horizontal="right" vertical="center" shrinkToFit="1"/>
    </xf>
    <xf numFmtId="177" fontId="92" fillId="0" borderId="98" xfId="0" applyNumberFormat="1" applyFont="1" applyFill="1" applyBorder="1" applyAlignment="1">
      <alignment horizontal="right" vertical="center" shrinkToFit="1"/>
    </xf>
    <xf numFmtId="177" fontId="92" fillId="27" borderId="82" xfId="0" applyNumberFormat="1" applyFont="1" applyFill="1" applyBorder="1" applyAlignment="1">
      <alignment horizontal="right" vertical="center" shrinkToFit="1"/>
    </xf>
    <xf numFmtId="177" fontId="92" fillId="27" borderId="200" xfId="0" applyNumberFormat="1" applyFont="1" applyFill="1" applyBorder="1" applyAlignment="1">
      <alignment horizontal="right" vertical="center" shrinkToFit="1"/>
    </xf>
    <xf numFmtId="0" fontId="92" fillId="28" borderId="23" xfId="0" applyFont="1" applyFill="1" applyBorder="1" applyAlignment="1">
      <alignment horizontal="right" vertical="center"/>
    </xf>
    <xf numFmtId="177" fontId="92" fillId="27" borderId="85" xfId="0" applyNumberFormat="1" applyFont="1" applyFill="1" applyBorder="1" applyAlignment="1">
      <alignment horizontal="right" vertical="center" shrinkToFit="1"/>
    </xf>
    <xf numFmtId="177" fontId="92" fillId="27" borderId="98" xfId="0" applyNumberFormat="1" applyFont="1" applyFill="1" applyBorder="1" applyAlignment="1">
      <alignment horizontal="right" vertical="center" shrinkToFit="1"/>
    </xf>
    <xf numFmtId="0" fontId="92" fillId="28" borderId="120" xfId="0" applyFont="1" applyFill="1" applyBorder="1" applyAlignment="1">
      <alignment horizontal="left" vertical="center" shrinkToFit="1"/>
    </xf>
    <xf numFmtId="0" fontId="92" fillId="28" borderId="120" xfId="0" applyFont="1" applyFill="1" applyBorder="1" applyAlignment="1">
      <alignment horizontal="right" vertical="center"/>
    </xf>
    <xf numFmtId="177" fontId="92" fillId="28" borderId="120" xfId="0" applyNumberFormat="1" applyFont="1" applyFill="1" applyBorder="1" applyAlignment="1">
      <alignment horizontal="right" vertical="center"/>
    </xf>
    <xf numFmtId="177" fontId="92" fillId="27" borderId="120" xfId="0" applyNumberFormat="1" applyFont="1" applyFill="1" applyBorder="1" applyAlignment="1">
      <alignment horizontal="right" vertical="center" shrinkToFit="1"/>
    </xf>
    <xf numFmtId="177" fontId="92" fillId="27" borderId="122" xfId="0" applyNumberFormat="1" applyFont="1" applyFill="1" applyBorder="1" applyAlignment="1">
      <alignment horizontal="right" vertical="center" shrinkToFit="1"/>
    </xf>
    <xf numFmtId="38" fontId="77" fillId="30" borderId="23" xfId="0" applyNumberFormat="1" applyFont="1" applyFill="1" applyBorder="1" applyAlignment="1">
      <alignment horizontal="right" shrinkToFit="1"/>
    </xf>
    <xf numFmtId="38" fontId="77" fillId="30" borderId="31" xfId="0" applyNumberFormat="1" applyFont="1" applyFill="1" applyBorder="1" applyAlignment="1">
      <alignment horizontal="right" shrinkToFit="1"/>
    </xf>
    <xf numFmtId="0" fontId="92" fillId="28" borderId="260" xfId="0" applyFont="1" applyFill="1" applyBorder="1" applyAlignment="1">
      <alignment horizontal="center" vertical="center"/>
    </xf>
    <xf numFmtId="0" fontId="92" fillId="0" borderId="151" xfId="0" applyFont="1" applyFill="1" applyBorder="1" applyAlignment="1">
      <alignment horizontal="center" vertical="center" wrapText="1"/>
    </xf>
    <xf numFmtId="0" fontId="93" fillId="0" borderId="151" xfId="0" applyFont="1" applyFill="1" applyBorder="1" applyAlignment="1">
      <alignment horizontal="left" vertical="center"/>
    </xf>
    <xf numFmtId="38" fontId="92" fillId="0" borderId="151" xfId="0" applyNumberFormat="1" applyFont="1" applyFill="1" applyBorder="1" applyAlignment="1">
      <alignment horizontal="right" vertical="center"/>
    </xf>
    <xf numFmtId="38" fontId="92" fillId="0" borderId="151" xfId="0" applyNumberFormat="1" applyFont="1" applyFill="1" applyBorder="1" applyAlignment="1">
      <alignment horizontal="right" vertical="center" shrinkToFit="1"/>
    </xf>
    <xf numFmtId="38" fontId="92" fillId="0" borderId="152" xfId="0" applyNumberFormat="1" applyFont="1" applyFill="1" applyBorder="1" applyAlignment="1">
      <alignment horizontal="right" vertical="center" shrinkToFit="1"/>
    </xf>
    <xf numFmtId="0" fontId="92" fillId="28" borderId="231" xfId="0" quotePrefix="1" applyFont="1" applyFill="1" applyBorder="1" applyAlignment="1">
      <alignment horizontal="center" vertical="center"/>
    </xf>
    <xf numFmtId="0" fontId="92" fillId="28" borderId="233" xfId="0" applyFont="1" applyFill="1" applyBorder="1" applyAlignment="1">
      <alignment horizontal="left" vertical="center" shrinkToFit="1"/>
    </xf>
    <xf numFmtId="0" fontId="92" fillId="0" borderId="23" xfId="0" applyNumberFormat="1" applyFont="1" applyFill="1" applyBorder="1" applyAlignment="1">
      <alignment horizontal="right" vertical="center" shrinkToFit="1"/>
    </xf>
    <xf numFmtId="10" fontId="92" fillId="0" borderId="23" xfId="0" applyNumberFormat="1" applyFont="1" applyFill="1" applyBorder="1" applyAlignment="1">
      <alignment horizontal="right" vertical="center" shrinkToFit="1"/>
    </xf>
    <xf numFmtId="177" fontId="92" fillId="20" borderId="23" xfId="0" applyNumberFormat="1" applyFont="1" applyFill="1" applyBorder="1" applyAlignment="1">
      <alignment horizontal="right" vertical="center"/>
    </xf>
    <xf numFmtId="177" fontId="92" fillId="16" borderId="23" xfId="0" applyNumberFormat="1" applyFont="1" applyFill="1" applyBorder="1" applyAlignment="1">
      <alignment horizontal="right" vertical="center" shrinkToFit="1"/>
    </xf>
    <xf numFmtId="177" fontId="92" fillId="16" borderId="31" xfId="0" applyNumberFormat="1" applyFont="1" applyFill="1" applyBorder="1" applyAlignment="1">
      <alignment horizontal="right" vertical="center" shrinkToFit="1"/>
    </xf>
    <xf numFmtId="0" fontId="92" fillId="28" borderId="23" xfId="0" quotePrefix="1" applyFont="1" applyFill="1" applyBorder="1" applyAlignment="1">
      <alignment horizontal="center" vertical="center"/>
    </xf>
    <xf numFmtId="0" fontId="92" fillId="28" borderId="140" xfId="0" applyFont="1" applyFill="1" applyBorder="1" applyAlignment="1">
      <alignment horizontal="left" vertical="center" shrinkToFit="1"/>
    </xf>
    <xf numFmtId="0" fontId="80" fillId="0" borderId="121" xfId="0" applyFont="1" applyBorder="1" applyAlignment="1">
      <alignment horizontal="center" vertical="center" shrinkToFit="1"/>
    </xf>
    <xf numFmtId="0" fontId="92" fillId="28" borderId="120" xfId="0" applyFont="1" applyFill="1" applyBorder="1" applyAlignment="1">
      <alignment horizontal="center" vertical="center" wrapText="1" shrinkToFit="1"/>
    </xf>
    <xf numFmtId="0" fontId="91" fillId="28" borderId="140" xfId="0" applyFont="1" applyFill="1" applyBorder="1" applyAlignment="1">
      <alignment horizontal="left" vertical="center"/>
    </xf>
    <xf numFmtId="0" fontId="92" fillId="0" borderId="120" xfId="0" applyNumberFormat="1" applyFont="1" applyFill="1" applyBorder="1" applyAlignment="1">
      <alignment horizontal="right" vertical="center" shrinkToFit="1"/>
    </xf>
    <xf numFmtId="10" fontId="92" fillId="0" borderId="120" xfId="0" applyNumberFormat="1" applyFont="1" applyFill="1" applyBorder="1" applyAlignment="1">
      <alignment horizontal="right" vertical="center" shrinkToFit="1"/>
    </xf>
    <xf numFmtId="177" fontId="92" fillId="0" borderId="120" xfId="0" applyNumberFormat="1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shrinkToFit="1"/>
    </xf>
    <xf numFmtId="38" fontId="77" fillId="16" borderId="31" xfId="0" applyNumberFormat="1" applyFont="1" applyFill="1" applyBorder="1" applyAlignment="1">
      <alignment horizontal="right" shrinkToFit="1"/>
    </xf>
    <xf numFmtId="0" fontId="92" fillId="0" borderId="226" xfId="0" applyFont="1" applyFill="1" applyBorder="1" applyAlignment="1">
      <alignment horizontal="right" vertical="center"/>
    </xf>
    <xf numFmtId="0" fontId="92" fillId="0" borderId="23" xfId="0" applyFont="1" applyFill="1" applyBorder="1" applyAlignment="1">
      <alignment horizontal="left" vertical="center"/>
    </xf>
    <xf numFmtId="0" fontId="92" fillId="0" borderId="23" xfId="0" applyFont="1" applyFill="1" applyBorder="1" applyAlignment="1">
      <alignment horizontal="right" vertical="center"/>
    </xf>
    <xf numFmtId="177" fontId="92" fillId="0" borderId="23" xfId="0" applyNumberFormat="1" applyFont="1" applyFill="1" applyBorder="1" applyAlignment="1">
      <alignment horizontal="right" vertical="center"/>
    </xf>
    <xf numFmtId="0" fontId="92" fillId="0" borderId="52" xfId="0" applyFont="1" applyFill="1" applyBorder="1" applyAlignment="1">
      <alignment horizontal="left" vertical="center"/>
    </xf>
    <xf numFmtId="0" fontId="91" fillId="0" borderId="140" xfId="0" applyFont="1" applyBorder="1" applyAlignment="1">
      <alignment horizontal="left" vertical="center"/>
    </xf>
    <xf numFmtId="0" fontId="92" fillId="0" borderId="85" xfId="0" applyFont="1" applyFill="1" applyBorder="1" applyAlignment="1">
      <alignment horizontal="left" vertical="center"/>
    </xf>
    <xf numFmtId="0" fontId="92" fillId="0" borderId="85" xfId="0" applyFont="1" applyFill="1" applyBorder="1" applyAlignment="1">
      <alignment horizontal="right" vertical="center"/>
    </xf>
    <xf numFmtId="177" fontId="92" fillId="0" borderId="85" xfId="0" applyNumberFormat="1" applyFont="1" applyFill="1" applyBorder="1" applyAlignment="1">
      <alignment horizontal="right" vertical="center"/>
    </xf>
    <xf numFmtId="0" fontId="92" fillId="28" borderId="300" xfId="0" applyFont="1" applyFill="1" applyBorder="1" applyAlignment="1">
      <alignment horizontal="center" vertical="center"/>
    </xf>
    <xf numFmtId="0" fontId="77" fillId="28" borderId="311" xfId="0" applyFont="1" applyFill="1" applyBorder="1" applyAlignment="1">
      <alignment horizontal="center" vertical="center" textRotation="255"/>
    </xf>
    <xf numFmtId="0" fontId="91" fillId="20" borderId="312" xfId="0" applyFont="1" applyFill="1" applyBorder="1" applyAlignment="1">
      <alignment horizontal="left" vertical="center" shrinkToFit="1"/>
    </xf>
    <xf numFmtId="0" fontId="92" fillId="20" borderId="262" xfId="0" applyFont="1" applyFill="1" applyBorder="1" applyAlignment="1">
      <alignment horizontal="left" vertical="center" shrinkToFit="1"/>
    </xf>
    <xf numFmtId="0" fontId="92" fillId="28" borderId="262" xfId="0" applyFont="1" applyFill="1" applyBorder="1" applyAlignment="1">
      <alignment horizontal="right" vertical="center"/>
    </xf>
    <xf numFmtId="177" fontId="92" fillId="28" borderId="262" xfId="0" applyNumberFormat="1" applyFont="1" applyFill="1" applyBorder="1" applyAlignment="1">
      <alignment horizontal="right" vertical="center"/>
    </xf>
    <xf numFmtId="177" fontId="92" fillId="16" borderId="262" xfId="0" applyNumberFormat="1" applyFont="1" applyFill="1" applyBorder="1" applyAlignment="1">
      <alignment horizontal="right" vertical="center" shrinkToFit="1"/>
    </xf>
    <xf numFmtId="177" fontId="92" fillId="16" borderId="313" xfId="0" applyNumberFormat="1" applyFont="1" applyFill="1" applyBorder="1" applyAlignment="1">
      <alignment horizontal="right" vertical="center" shrinkToFit="1"/>
    </xf>
    <xf numFmtId="0" fontId="92" fillId="28" borderId="305" xfId="0" applyFont="1" applyFill="1" applyBorder="1" applyAlignment="1">
      <alignment horizontal="center" vertical="center"/>
    </xf>
    <xf numFmtId="0" fontId="77" fillId="28" borderId="279" xfId="0" applyFont="1" applyFill="1" applyBorder="1" applyAlignment="1">
      <alignment horizontal="center" vertical="center" textRotation="255"/>
    </xf>
    <xf numFmtId="0" fontId="92" fillId="20" borderId="269" xfId="0" applyFont="1" applyFill="1" applyBorder="1" applyAlignment="1">
      <alignment horizontal="left" vertical="center" shrinkToFit="1"/>
    </xf>
    <xf numFmtId="0" fontId="92" fillId="20" borderId="270" xfId="0" applyFont="1" applyFill="1" applyBorder="1" applyAlignment="1">
      <alignment horizontal="left" vertical="center" shrinkToFit="1"/>
    </xf>
    <xf numFmtId="0" fontId="92" fillId="28" borderId="270" xfId="0" applyFont="1" applyFill="1" applyBorder="1" applyAlignment="1">
      <alignment horizontal="right" vertical="center"/>
    </xf>
    <xf numFmtId="177" fontId="92" fillId="28" borderId="270" xfId="0" applyNumberFormat="1" applyFont="1" applyFill="1" applyBorder="1" applyAlignment="1">
      <alignment horizontal="right" vertical="center"/>
    </xf>
    <xf numFmtId="177" fontId="92" fillId="16" borderId="270" xfId="0" applyNumberFormat="1" applyFont="1" applyFill="1" applyBorder="1" applyAlignment="1">
      <alignment horizontal="right" vertical="center" shrinkToFit="1"/>
    </xf>
    <xf numFmtId="177" fontId="92" fillId="16" borderId="306" xfId="0" applyNumberFormat="1" applyFont="1" applyFill="1" applyBorder="1" applyAlignment="1">
      <alignment horizontal="right" vertical="center" shrinkToFit="1"/>
    </xf>
    <xf numFmtId="0" fontId="92" fillId="0" borderId="89" xfId="0" applyFont="1" applyFill="1" applyBorder="1" applyAlignment="1">
      <alignment horizontal="center" vertical="center" wrapText="1"/>
    </xf>
    <xf numFmtId="0" fontId="93" fillId="0" borderId="89" xfId="0" applyFont="1" applyFill="1" applyBorder="1" applyAlignment="1">
      <alignment horizontal="left" vertical="center"/>
    </xf>
    <xf numFmtId="38" fontId="92" fillId="0" borderId="89" xfId="0" applyNumberFormat="1" applyFont="1" applyFill="1" applyBorder="1" applyAlignment="1">
      <alignment horizontal="right" vertical="center"/>
    </xf>
    <xf numFmtId="38" fontId="92" fillId="0" borderId="89" xfId="0" applyNumberFormat="1" applyFont="1" applyFill="1" applyBorder="1" applyAlignment="1">
      <alignment horizontal="right" vertical="center" shrinkToFit="1"/>
    </xf>
    <xf numFmtId="38" fontId="92" fillId="0" borderId="100" xfId="0" applyNumberFormat="1" applyFont="1" applyFill="1" applyBorder="1" applyAlignment="1">
      <alignment horizontal="right" vertical="center" shrinkToFit="1"/>
    </xf>
    <xf numFmtId="38" fontId="77" fillId="0" borderId="23" xfId="0" applyNumberFormat="1" applyFont="1" applyFill="1" applyBorder="1" applyAlignment="1">
      <alignment horizontal="right" shrinkToFit="1"/>
    </xf>
    <xf numFmtId="38" fontId="77" fillId="0" borderId="31" xfId="0" applyNumberFormat="1" applyFont="1" applyFill="1" applyBorder="1" applyAlignment="1">
      <alignment horizontal="right" shrinkToFit="1"/>
    </xf>
    <xf numFmtId="0" fontId="88" fillId="0" borderId="224" xfId="0" applyFont="1" applyBorder="1" applyAlignment="1">
      <alignment vertical="center"/>
    </xf>
    <xf numFmtId="0" fontId="91" fillId="0" borderId="307" xfId="0" applyFont="1" applyBorder="1" applyAlignment="1">
      <alignment vertical="center"/>
    </xf>
    <xf numFmtId="0" fontId="91" fillId="0" borderId="229" xfId="0" applyFont="1" applyBorder="1" applyAlignment="1">
      <alignment vertical="center"/>
    </xf>
    <xf numFmtId="0" fontId="91" fillId="0" borderId="151" xfId="0" applyFont="1" applyBorder="1" applyAlignment="1">
      <alignment vertical="center"/>
    </xf>
    <xf numFmtId="0" fontId="91" fillId="0" borderId="151" xfId="0" applyFont="1" applyFill="1" applyBorder="1" applyAlignment="1">
      <alignment horizontal="right" vertical="center"/>
    </xf>
    <xf numFmtId="177" fontId="91" fillId="0" borderId="231" xfId="0" applyNumberFormat="1" applyFont="1" applyBorder="1" applyAlignment="1">
      <alignment vertical="center"/>
    </xf>
    <xf numFmtId="177" fontId="91" fillId="16" borderId="151" xfId="0" applyNumberFormat="1" applyFont="1" applyFill="1" applyBorder="1" applyAlignment="1">
      <alignment vertical="center" shrinkToFit="1"/>
    </xf>
    <xf numFmtId="177" fontId="91" fillId="16" borderId="152" xfId="0" applyNumberFormat="1" applyFont="1" applyFill="1" applyBorder="1" applyAlignment="1">
      <alignment vertical="center" shrinkToFit="1"/>
    </xf>
    <xf numFmtId="0" fontId="91" fillId="0" borderId="226" xfId="0" applyFont="1" applyBorder="1" applyAlignment="1">
      <alignment vertical="center"/>
    </xf>
    <xf numFmtId="0" fontId="92" fillId="0" borderId="231" xfId="0" applyNumberFormat="1" applyFont="1" applyFill="1" applyBorder="1" applyAlignment="1">
      <alignment horizontal="right" vertical="center" shrinkToFit="1"/>
    </xf>
    <xf numFmtId="10" fontId="92" fillId="0" borderId="231" xfId="0" quotePrefix="1" applyNumberFormat="1" applyFont="1" applyFill="1" applyBorder="1" applyAlignment="1">
      <alignment horizontal="right" vertical="center" shrinkToFit="1"/>
    </xf>
    <xf numFmtId="177" fontId="91" fillId="0" borderId="231" xfId="0" applyNumberFormat="1" applyFont="1" applyBorder="1" applyAlignment="1">
      <alignment vertical="center" shrinkToFit="1"/>
    </xf>
    <xf numFmtId="177" fontId="91" fillId="0" borderId="232" xfId="0" applyNumberFormat="1" applyFont="1" applyBorder="1" applyAlignment="1">
      <alignment vertical="center" shrinkToFit="1"/>
    </xf>
    <xf numFmtId="0" fontId="92" fillId="0" borderId="83" xfId="0" applyFont="1" applyFill="1" applyBorder="1" applyAlignment="1">
      <alignment vertical="center" shrinkToFit="1"/>
    </xf>
    <xf numFmtId="0" fontId="92" fillId="0" borderId="233" xfId="0" applyFont="1" applyFill="1" applyBorder="1" applyAlignment="1">
      <alignment vertical="center" shrinkToFit="1"/>
    </xf>
    <xf numFmtId="0" fontId="92" fillId="0" borderId="82" xfId="0" applyNumberFormat="1" applyFont="1" applyFill="1" applyBorder="1" applyAlignment="1">
      <alignment horizontal="right" vertical="center" shrinkToFit="1"/>
    </xf>
    <xf numFmtId="10" fontId="92" fillId="0" borderId="82" xfId="0" quotePrefix="1" applyNumberFormat="1" applyFont="1" applyFill="1" applyBorder="1" applyAlignment="1">
      <alignment horizontal="right" vertical="center" shrinkToFit="1"/>
    </xf>
    <xf numFmtId="177" fontId="91" fillId="0" borderId="82" xfId="0" applyNumberFormat="1" applyFont="1" applyBorder="1" applyAlignment="1">
      <alignment vertical="center"/>
    </xf>
    <xf numFmtId="177" fontId="91" fillId="16" borderId="82" xfId="0" applyNumberFormat="1" applyFont="1" applyFill="1" applyBorder="1" applyAlignment="1">
      <alignment vertical="center" shrinkToFit="1"/>
    </xf>
    <xf numFmtId="177" fontId="91" fillId="16" borderId="200" xfId="0" applyNumberFormat="1" applyFont="1" applyFill="1" applyBorder="1" applyAlignment="1">
      <alignment vertical="center" shrinkToFit="1"/>
    </xf>
    <xf numFmtId="0" fontId="92" fillId="0" borderId="52" xfId="0" applyFont="1" applyFill="1" applyBorder="1" applyAlignment="1">
      <alignment vertical="center" shrinkToFit="1"/>
    </xf>
    <xf numFmtId="0" fontId="92" fillId="0" borderId="140" xfId="0" applyFont="1" applyFill="1" applyBorder="1" applyAlignment="1">
      <alignment vertical="center" shrinkToFit="1"/>
    </xf>
    <xf numFmtId="10" fontId="92" fillId="0" borderId="23" xfId="0" quotePrefix="1" applyNumberFormat="1" applyFont="1" applyFill="1" applyBorder="1" applyAlignment="1">
      <alignment horizontal="right" vertical="center" shrinkToFit="1"/>
    </xf>
    <xf numFmtId="177" fontId="91" fillId="0" borderId="23" xfId="0" applyNumberFormat="1" applyFont="1" applyBorder="1" applyAlignment="1">
      <alignment vertical="center"/>
    </xf>
    <xf numFmtId="177" fontId="91" fillId="0" borderId="23" xfId="0" applyNumberFormat="1" applyFont="1" applyBorder="1" applyAlignment="1">
      <alignment vertical="center" shrinkToFit="1"/>
    </xf>
    <xf numFmtId="177" fontId="91" fillId="0" borderId="31" xfId="0" applyNumberFormat="1" applyFont="1" applyBorder="1" applyAlignment="1">
      <alignment vertical="center" shrinkToFit="1"/>
    </xf>
    <xf numFmtId="0" fontId="92" fillId="0" borderId="85" xfId="0" applyNumberFormat="1" applyFont="1" applyFill="1" applyBorder="1" applyAlignment="1">
      <alignment horizontal="right" vertical="center" shrinkToFit="1"/>
    </xf>
    <xf numFmtId="10" fontId="92" fillId="0" borderId="85" xfId="0" quotePrefix="1" applyNumberFormat="1" applyFont="1" applyFill="1" applyBorder="1" applyAlignment="1">
      <alignment horizontal="right" vertical="center" shrinkToFit="1"/>
    </xf>
    <xf numFmtId="177" fontId="91" fillId="0" borderId="85" xfId="0" applyNumberFormat="1" applyFont="1" applyBorder="1" applyAlignment="1">
      <alignment vertical="center"/>
    </xf>
    <xf numFmtId="177" fontId="91" fillId="16" borderId="85" xfId="0" applyNumberFormat="1" applyFont="1" applyFill="1" applyBorder="1" applyAlignment="1">
      <alignment vertical="center" shrinkToFit="1"/>
    </xf>
    <xf numFmtId="177" fontId="91" fillId="16" borderId="98" xfId="0" applyNumberFormat="1" applyFont="1" applyFill="1" applyBorder="1" applyAlignment="1">
      <alignment vertical="center" shrinkToFit="1"/>
    </xf>
    <xf numFmtId="0" fontId="88" fillId="0" borderId="236" xfId="0" applyFont="1" applyBorder="1" applyAlignment="1">
      <alignment vertical="center"/>
    </xf>
    <xf numFmtId="0" fontId="95" fillId="0" borderId="237" xfId="0" applyFont="1" applyFill="1" applyBorder="1" applyAlignment="1">
      <alignment vertical="center" shrinkToFit="1"/>
    </xf>
    <xf numFmtId="0" fontId="92" fillId="0" borderId="237" xfId="0" applyFont="1" applyFill="1" applyBorder="1" applyAlignment="1">
      <alignment vertical="center" shrinkToFit="1"/>
    </xf>
    <xf numFmtId="191" fontId="92" fillId="0" borderId="238" xfId="0" applyNumberFormat="1" applyFont="1" applyFill="1" applyBorder="1" applyAlignment="1">
      <alignment horizontal="right" vertical="center" shrinkToFit="1"/>
    </xf>
    <xf numFmtId="10" fontId="92" fillId="0" borderId="238" xfId="0" quotePrefix="1" applyNumberFormat="1" applyFont="1" applyFill="1" applyBorder="1" applyAlignment="1">
      <alignment horizontal="right" vertical="center" shrinkToFit="1"/>
    </xf>
    <xf numFmtId="177" fontId="91" fillId="0" borderId="238" xfId="0" applyNumberFormat="1" applyFont="1" applyBorder="1" applyAlignment="1">
      <alignment vertical="center"/>
    </xf>
    <xf numFmtId="177" fontId="91" fillId="16" borderId="238" xfId="0" applyNumberFormat="1" applyFont="1" applyFill="1" applyBorder="1" applyAlignment="1">
      <alignment vertical="center" shrinkToFit="1"/>
    </xf>
    <xf numFmtId="177" fontId="91" fillId="16" borderId="239" xfId="0" applyNumberFormat="1" applyFont="1" applyFill="1" applyBorder="1" applyAlignment="1">
      <alignment vertical="center" shrinkToFit="1"/>
    </xf>
    <xf numFmtId="0" fontId="88" fillId="0" borderId="280" xfId="0" applyFont="1" applyBorder="1" applyAlignment="1">
      <alignment vertical="center"/>
    </xf>
    <xf numFmtId="0" fontId="91" fillId="0" borderId="281" xfId="0" applyFont="1" applyBorder="1" applyAlignment="1">
      <alignment vertical="center"/>
    </xf>
    <xf numFmtId="0" fontId="96" fillId="0" borderId="281" xfId="0" applyFont="1" applyBorder="1" applyAlignment="1">
      <alignment horizontal="right" vertical="center"/>
    </xf>
    <xf numFmtId="177" fontId="91" fillId="0" borderId="242" xfId="0" applyNumberFormat="1" applyFont="1" applyBorder="1" applyAlignment="1">
      <alignment vertical="center"/>
    </xf>
    <xf numFmtId="177" fontId="91" fillId="0" borderId="242" xfId="0" applyNumberFormat="1" applyFont="1" applyBorder="1" applyAlignment="1">
      <alignment vertical="center" shrinkToFit="1"/>
    </xf>
    <xf numFmtId="177" fontId="91" fillId="0" borderId="296" xfId="0" applyNumberFormat="1" applyFont="1" applyBorder="1" applyAlignment="1">
      <alignment vertical="center" shrinkToFit="1"/>
    </xf>
    <xf numFmtId="0" fontId="97" fillId="0" borderId="226" xfId="0" applyFont="1" applyBorder="1" applyAlignment="1">
      <alignment vertical="center"/>
    </xf>
    <xf numFmtId="0" fontId="91" fillId="0" borderId="82" xfId="0" applyFont="1" applyBorder="1" applyAlignment="1">
      <alignment vertical="center"/>
    </xf>
    <xf numFmtId="0" fontId="91" fillId="0" borderId="283" xfId="0" applyFont="1" applyBorder="1" applyAlignment="1">
      <alignment vertical="center"/>
    </xf>
    <xf numFmtId="0" fontId="91" fillId="0" borderId="85" xfId="0" applyFont="1" applyBorder="1" applyAlignment="1">
      <alignment vertical="center"/>
    </xf>
    <xf numFmtId="177" fontId="91" fillId="0" borderId="85" xfId="0" applyNumberFormat="1" applyFont="1" applyBorder="1" applyAlignment="1">
      <alignment vertical="center" shrinkToFit="1"/>
    </xf>
    <xf numFmtId="177" fontId="91" fillId="0" borderId="98" xfId="0" applyNumberFormat="1" applyFont="1" applyBorder="1" applyAlignment="1">
      <alignment vertical="center" shrinkToFit="1"/>
    </xf>
    <xf numFmtId="177" fontId="91" fillId="0" borderId="243" xfId="0" applyNumberFormat="1" applyFont="1" applyBorder="1" applyAlignment="1">
      <alignment vertical="center" shrinkToFit="1"/>
    </xf>
    <xf numFmtId="177" fontId="91" fillId="0" borderId="82" xfId="0" applyNumberFormat="1" applyFont="1" applyBorder="1" applyAlignment="1">
      <alignment vertical="center" shrinkToFit="1"/>
    </xf>
    <xf numFmtId="177" fontId="91" fillId="0" borderId="200" xfId="0" applyNumberFormat="1" applyFont="1" applyBorder="1" applyAlignment="1">
      <alignment vertical="center" shrinkToFit="1"/>
    </xf>
    <xf numFmtId="0" fontId="78" fillId="0" borderId="0" xfId="0" applyFont="1" applyFill="1" applyBorder="1" applyAlignment="1">
      <alignment horizontal="left" vertical="center"/>
    </xf>
    <xf numFmtId="0" fontId="87" fillId="0" borderId="0" xfId="0" applyFont="1" applyFill="1" applyBorder="1" applyAlignment="1">
      <alignment horizontal="left" vertical="center"/>
    </xf>
    <xf numFmtId="0" fontId="81" fillId="0" borderId="0" xfId="0" applyFont="1" applyFill="1" applyBorder="1" applyAlignment="1">
      <alignment horizontal="right" vertical="center" shrinkToFit="1"/>
    </xf>
    <xf numFmtId="0" fontId="98" fillId="0" borderId="0" xfId="0" applyFont="1" applyFill="1" applyBorder="1" applyAlignment="1">
      <alignment horizontal="distributed" vertical="center"/>
    </xf>
    <xf numFmtId="0" fontId="89" fillId="0" borderId="0" xfId="0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horizontal="center" vertical="center" shrinkToFit="1"/>
    </xf>
    <xf numFmtId="38" fontId="77" fillId="0" borderId="258" xfId="0" applyNumberFormat="1" applyFont="1" applyFill="1" applyBorder="1" applyAlignment="1">
      <alignment horizontal="center" vertical="center" shrinkToFit="1"/>
    </xf>
    <xf numFmtId="0" fontId="86" fillId="28" borderId="224" xfId="0" applyFont="1" applyFill="1" applyBorder="1" applyAlignment="1">
      <alignment horizontal="right" vertical="center"/>
    </xf>
    <xf numFmtId="0" fontId="86" fillId="28" borderId="225" xfId="0" applyFont="1" applyFill="1" applyBorder="1" applyAlignment="1">
      <alignment horizontal="right" vertical="center"/>
    </xf>
    <xf numFmtId="0" fontId="86" fillId="0" borderId="225" xfId="0" applyFont="1" applyFill="1" applyBorder="1" applyAlignment="1">
      <alignment horizontal="distributed" vertical="center"/>
    </xf>
    <xf numFmtId="0" fontId="99" fillId="0" borderId="225" xfId="0" applyFont="1" applyFill="1" applyBorder="1" applyAlignment="1">
      <alignment horizontal="center" vertical="center"/>
    </xf>
    <xf numFmtId="0" fontId="86" fillId="0" borderId="231" xfId="0" applyFont="1" applyFill="1" applyBorder="1" applyAlignment="1">
      <alignment horizontal="center" vertical="center"/>
    </xf>
    <xf numFmtId="0" fontId="86" fillId="0" borderId="231" xfId="0" applyFont="1" applyFill="1" applyBorder="1" applyAlignment="1">
      <alignment horizontal="right" vertical="center"/>
    </xf>
    <xf numFmtId="190" fontId="86" fillId="11" borderId="231" xfId="0" applyNumberFormat="1" applyFont="1" applyFill="1" applyBorder="1" applyAlignment="1">
      <alignment horizontal="center" shrinkToFit="1"/>
    </xf>
    <xf numFmtId="190" fontId="86" fillId="11" borderId="231" xfId="0" applyNumberFormat="1" applyFont="1" applyFill="1" applyBorder="1" applyAlignment="1">
      <alignment horizontal="center" vertical="center" shrinkToFit="1"/>
    </xf>
    <xf numFmtId="190" fontId="86" fillId="11" borderId="200" xfId="0" applyNumberFormat="1" applyFont="1" applyFill="1" applyBorder="1" applyAlignment="1">
      <alignment horizontal="center" vertical="center" shrinkToFit="1"/>
    </xf>
    <xf numFmtId="0" fontId="86" fillId="28" borderId="283" xfId="0" applyFont="1" applyFill="1" applyBorder="1" applyAlignment="1">
      <alignment horizontal="right" vertical="center"/>
    </xf>
    <xf numFmtId="0" fontId="86" fillId="28" borderId="258" xfId="0" applyFont="1" applyFill="1" applyBorder="1" applyAlignment="1">
      <alignment horizontal="right" vertical="center"/>
    </xf>
    <xf numFmtId="0" fontId="86" fillId="0" borderId="142" xfId="0" applyFont="1" applyFill="1" applyBorder="1" applyAlignment="1">
      <alignment horizontal="distributed" vertical="center"/>
    </xf>
    <xf numFmtId="0" fontId="99" fillId="0" borderId="142" xfId="0" applyFont="1" applyFill="1" applyBorder="1" applyAlignment="1">
      <alignment horizontal="center" vertical="center"/>
    </xf>
    <xf numFmtId="0" fontId="86" fillId="0" borderId="23" xfId="0" applyFont="1" applyFill="1" applyBorder="1" applyAlignment="1">
      <alignment horizontal="center" vertical="center"/>
    </xf>
    <xf numFmtId="0" fontId="86" fillId="0" borderId="52" xfId="0" applyFont="1" applyFill="1" applyBorder="1" applyAlignment="1">
      <alignment horizontal="right" vertical="center"/>
    </xf>
    <xf numFmtId="0" fontId="77" fillId="35" borderId="23" xfId="0" applyFont="1" applyFill="1" applyBorder="1" applyAlignment="1">
      <alignment horizontal="center" shrinkToFit="1"/>
    </xf>
    <xf numFmtId="0" fontId="77" fillId="35" borderId="98" xfId="0" applyFont="1" applyFill="1" applyBorder="1" applyAlignment="1">
      <alignment horizontal="center" shrinkToFit="1"/>
    </xf>
    <xf numFmtId="0" fontId="77" fillId="28" borderId="224" xfId="0" applyFont="1" applyFill="1" applyBorder="1" applyAlignment="1">
      <alignment horizontal="right" vertical="center"/>
    </xf>
    <xf numFmtId="0" fontId="77" fillId="28" borderId="225" xfId="0" applyFont="1" applyFill="1" applyBorder="1" applyAlignment="1">
      <alignment horizontal="right" vertical="center"/>
    </xf>
    <xf numFmtId="0" fontId="77" fillId="11" borderId="231" xfId="0" applyFont="1" applyFill="1" applyBorder="1" applyAlignment="1">
      <alignment horizontal="center" vertical="center"/>
    </xf>
    <xf numFmtId="0" fontId="77" fillId="28" borderId="231" xfId="0" applyFont="1" applyFill="1" applyBorder="1" applyAlignment="1">
      <alignment horizontal="center" vertical="center"/>
    </xf>
    <xf numFmtId="0" fontId="77" fillId="28" borderId="231" xfId="0" applyFont="1" applyFill="1" applyBorder="1" applyAlignment="1">
      <alignment horizontal="center" shrinkToFit="1"/>
    </xf>
    <xf numFmtId="0" fontId="77" fillId="28" borderId="231" xfId="0" applyFont="1" applyFill="1" applyBorder="1" applyAlignment="1">
      <alignment horizontal="center" vertical="center" shrinkToFit="1"/>
    </xf>
    <xf numFmtId="0" fontId="77" fillId="28" borderId="232" xfId="0" applyFont="1" applyFill="1" applyBorder="1" applyAlignment="1">
      <alignment horizontal="center" vertical="center" shrinkToFit="1"/>
    </xf>
    <xf numFmtId="0" fontId="77" fillId="28" borderId="141" xfId="0" applyFont="1" applyFill="1" applyBorder="1" applyAlignment="1">
      <alignment horizontal="right" vertical="center"/>
    </xf>
    <xf numFmtId="0" fontId="77" fillId="11" borderId="95" xfId="0" applyFont="1" applyFill="1" applyBorder="1" applyAlignment="1">
      <alignment horizontal="center" vertical="center"/>
    </xf>
    <xf numFmtId="0" fontId="100" fillId="28" borderId="95" xfId="0" applyFont="1" applyFill="1" applyBorder="1" applyAlignment="1">
      <alignment vertical="center"/>
    </xf>
    <xf numFmtId="0" fontId="77" fillId="28" borderId="95" xfId="0" applyFont="1" applyFill="1" applyBorder="1" applyAlignment="1">
      <alignment horizontal="center" vertical="center" shrinkToFit="1"/>
    </xf>
    <xf numFmtId="0" fontId="77" fillId="28" borderId="99" xfId="0" applyFont="1" applyFill="1" applyBorder="1" applyAlignment="1">
      <alignment horizontal="center" vertical="center" shrinkToFit="1"/>
    </xf>
    <xf numFmtId="38" fontId="82" fillId="11" borderId="23" xfId="0" applyNumberFormat="1" applyFont="1" applyFill="1" applyBorder="1" applyAlignment="1">
      <alignment horizontal="center" shrinkToFit="1"/>
    </xf>
    <xf numFmtId="38" fontId="82" fillId="11" borderId="31" xfId="0" applyNumberFormat="1" applyFont="1" applyFill="1" applyBorder="1" applyAlignment="1">
      <alignment horizontal="center" shrinkToFit="1"/>
    </xf>
    <xf numFmtId="38" fontId="86" fillId="11" borderId="95" xfId="0" applyNumberFormat="1" applyFont="1" applyFill="1" applyBorder="1" applyAlignment="1">
      <alignment horizontal="center" vertical="center" shrinkToFit="1"/>
    </xf>
    <xf numFmtId="38" fontId="86" fillId="11" borderId="99" xfId="0" applyNumberFormat="1" applyFont="1" applyFill="1" applyBorder="1" applyAlignment="1">
      <alignment horizontal="center" vertical="center" shrinkToFit="1"/>
    </xf>
    <xf numFmtId="38" fontId="86" fillId="11" borderId="89" xfId="0" applyNumberFormat="1" applyFont="1" applyFill="1" applyBorder="1" applyAlignment="1">
      <alignment horizontal="center" vertical="center" shrinkToFit="1"/>
    </xf>
    <xf numFmtId="38" fontId="86" fillId="11" borderId="100" xfId="0" applyNumberFormat="1" applyFont="1" applyFill="1" applyBorder="1" applyAlignment="1">
      <alignment horizontal="center" vertical="center" shrinkToFit="1"/>
    </xf>
    <xf numFmtId="0" fontId="77" fillId="28" borderId="225" xfId="0" applyFont="1" applyFill="1" applyBorder="1" applyAlignment="1">
      <alignment vertical="center"/>
    </xf>
    <xf numFmtId="0" fontId="77" fillId="28" borderId="15" xfId="0" applyFont="1" applyFill="1" applyBorder="1" applyAlignment="1">
      <alignment horizontal="right" vertical="center"/>
    </xf>
    <xf numFmtId="0" fontId="77" fillId="0" borderId="308" xfId="0" applyFont="1" applyFill="1" applyBorder="1" applyAlignment="1">
      <alignment horizontal="center" vertical="center"/>
    </xf>
    <xf numFmtId="38" fontId="77" fillId="28" borderId="151" xfId="0" applyNumberFormat="1" applyFont="1" applyFill="1" applyBorder="1" applyAlignment="1">
      <alignment horizontal="right" vertical="center"/>
    </xf>
    <xf numFmtId="179" fontId="77" fillId="11" borderId="151" xfId="0" applyNumberFormat="1" applyFont="1" applyFill="1" applyBorder="1" applyAlignment="1">
      <alignment shrinkToFit="1"/>
    </xf>
    <xf numFmtId="179" fontId="77" fillId="11" borderId="151" xfId="0" applyNumberFormat="1" applyFont="1" applyFill="1" applyBorder="1" applyAlignment="1">
      <alignment vertical="center" shrinkToFit="1"/>
    </xf>
    <xf numFmtId="179" fontId="77" fillId="11" borderId="152" xfId="0" applyNumberFormat="1" applyFont="1" applyFill="1" applyBorder="1" applyAlignment="1">
      <alignment vertical="center" shrinkToFit="1"/>
    </xf>
    <xf numFmtId="0" fontId="77" fillId="28" borderId="178" xfId="0" applyFont="1" applyFill="1" applyBorder="1" applyAlignment="1">
      <alignment horizontal="right" vertical="center"/>
    </xf>
    <xf numFmtId="0" fontId="77" fillId="28" borderId="233" xfId="0" applyFont="1" applyFill="1" applyBorder="1" applyAlignment="1">
      <alignment horizontal="right" vertical="center"/>
    </xf>
    <xf numFmtId="0" fontId="77" fillId="0" borderId="83" xfId="0" applyFont="1" applyFill="1" applyBorder="1" applyAlignment="1">
      <alignment horizontal="center" vertical="center"/>
    </xf>
    <xf numFmtId="38" fontId="77" fillId="28" borderId="82" xfId="0" applyNumberFormat="1" applyFont="1" applyFill="1" applyBorder="1" applyAlignment="1">
      <alignment horizontal="right" vertical="center"/>
    </xf>
    <xf numFmtId="179" fontId="77" fillId="0" borderId="82" xfId="0" applyNumberFormat="1" applyFont="1" applyFill="1" applyBorder="1" applyAlignment="1">
      <alignment vertical="center" shrinkToFit="1"/>
    </xf>
    <xf numFmtId="179" fontId="77" fillId="0" borderId="200" xfId="0" applyNumberFormat="1" applyFont="1" applyFill="1" applyBorder="1" applyAlignment="1">
      <alignment vertical="center" shrinkToFit="1"/>
    </xf>
    <xf numFmtId="0" fontId="77" fillId="0" borderId="96" xfId="0" applyFont="1" applyFill="1" applyBorder="1" applyAlignment="1">
      <alignment horizontal="center" vertical="center"/>
    </xf>
    <xf numFmtId="38" fontId="77" fillId="28" borderId="95" xfId="0" applyNumberFormat="1" applyFont="1" applyFill="1" applyBorder="1" applyAlignment="1">
      <alignment horizontal="right" vertical="center"/>
    </xf>
    <xf numFmtId="179" fontId="77" fillId="0" borderId="95" xfId="0" applyNumberFormat="1" applyFont="1" applyFill="1" applyBorder="1" applyAlignment="1">
      <alignment vertical="center" shrinkToFit="1"/>
    </xf>
    <xf numFmtId="179" fontId="77" fillId="0" borderId="99" xfId="0" applyNumberFormat="1" applyFont="1" applyFill="1" applyBorder="1" applyAlignment="1">
      <alignment vertical="center" shrinkToFit="1"/>
    </xf>
    <xf numFmtId="38" fontId="86" fillId="28" borderId="95" xfId="0" applyNumberFormat="1" applyFont="1" applyFill="1" applyBorder="1" applyAlignment="1">
      <alignment horizontal="right" vertical="center"/>
    </xf>
    <xf numFmtId="179" fontId="77" fillId="35" borderId="95" xfId="0" applyNumberFormat="1" applyFont="1" applyFill="1" applyBorder="1" applyAlignment="1">
      <alignment shrinkToFit="1"/>
    </xf>
    <xf numFmtId="179" fontId="77" fillId="35" borderId="95" xfId="0" applyNumberFormat="1" applyFont="1" applyFill="1" applyBorder="1" applyAlignment="1">
      <alignment vertical="center" shrinkToFit="1"/>
    </xf>
    <xf numFmtId="179" fontId="77" fillId="35" borderId="99" xfId="0" applyNumberFormat="1" applyFont="1" applyFill="1" applyBorder="1" applyAlignment="1">
      <alignment vertical="center" shrinkToFit="1"/>
    </xf>
    <xf numFmtId="0" fontId="86" fillId="0" borderId="0" xfId="0" applyFont="1" applyBorder="1" applyAlignment="1">
      <alignment vertical="center"/>
    </xf>
    <xf numFmtId="0" fontId="86" fillId="28" borderId="139" xfId="0" applyFont="1" applyFill="1" applyBorder="1" applyAlignment="1">
      <alignment horizontal="left" vertical="center"/>
    </xf>
    <xf numFmtId="0" fontId="77" fillId="20" borderId="139" xfId="0" applyFont="1" applyFill="1" applyBorder="1" applyAlignment="1">
      <alignment horizontal="right" vertical="center"/>
    </xf>
    <xf numFmtId="0" fontId="77" fillId="0" borderId="169" xfId="0" applyFont="1" applyFill="1" applyBorder="1" applyAlignment="1">
      <alignment horizontal="center" vertical="center"/>
    </xf>
    <xf numFmtId="38" fontId="86" fillId="20" borderId="120" xfId="0" applyNumberFormat="1" applyFont="1" applyFill="1" applyBorder="1" applyAlignment="1">
      <alignment horizontal="right" vertical="center"/>
    </xf>
    <xf numFmtId="179" fontId="77" fillId="35" borderId="120" xfId="0" applyNumberFormat="1" applyFont="1" applyFill="1" applyBorder="1" applyAlignment="1">
      <alignment shrinkToFit="1"/>
    </xf>
    <xf numFmtId="179" fontId="77" fillId="35" borderId="120" xfId="0" applyNumberFormat="1" applyFont="1" applyFill="1" applyBorder="1" applyAlignment="1">
      <alignment vertical="center" shrinkToFit="1"/>
    </xf>
    <xf numFmtId="179" fontId="77" fillId="35" borderId="122" xfId="0" applyNumberFormat="1" applyFont="1" applyFill="1" applyBorder="1" applyAlignment="1">
      <alignment vertical="center" shrinkToFit="1"/>
    </xf>
    <xf numFmtId="0" fontId="77" fillId="0" borderId="115" xfId="0" applyFont="1" applyFill="1" applyBorder="1" applyAlignment="1">
      <alignment horizontal="right" vertical="center"/>
    </xf>
    <xf numFmtId="0" fontId="86" fillId="0" borderId="142" xfId="0" applyFont="1" applyFill="1" applyBorder="1" applyAlignment="1">
      <alignment vertical="center"/>
    </xf>
    <xf numFmtId="0" fontId="86" fillId="0" borderId="142" xfId="0" applyFont="1" applyFill="1" applyBorder="1" applyAlignment="1">
      <alignment horizontal="left" vertical="center"/>
    </xf>
    <xf numFmtId="0" fontId="77" fillId="0" borderId="142" xfId="0" applyFont="1" applyFill="1" applyBorder="1" applyAlignment="1">
      <alignment horizontal="right" vertical="center"/>
    </xf>
    <xf numFmtId="0" fontId="77" fillId="0" borderId="52" xfId="0" applyFont="1" applyFill="1" applyBorder="1" applyAlignment="1">
      <alignment horizontal="center" vertical="center"/>
    </xf>
    <xf numFmtId="38" fontId="86" fillId="0" borderId="23" xfId="0" applyNumberFormat="1" applyFont="1" applyFill="1" applyBorder="1" applyAlignment="1">
      <alignment horizontal="right" vertical="center"/>
    </xf>
    <xf numFmtId="179" fontId="77" fillId="35" borderId="23" xfId="0" applyNumberFormat="1" applyFont="1" applyFill="1" applyBorder="1" applyAlignment="1">
      <alignment shrinkToFit="1"/>
    </xf>
    <xf numFmtId="179" fontId="77" fillId="35" borderId="23" xfId="0" applyNumberFormat="1" applyFont="1" applyFill="1" applyBorder="1" applyAlignment="1">
      <alignment vertical="center" shrinkToFit="1"/>
    </xf>
    <xf numFmtId="179" fontId="77" fillId="35" borderId="31" xfId="0" applyNumberFormat="1" applyFont="1" applyFill="1" applyBorder="1" applyAlignment="1">
      <alignment vertical="center" shrinkToFit="1"/>
    </xf>
    <xf numFmtId="0" fontId="77" fillId="0" borderId="189" xfId="0" applyFont="1" applyFill="1" applyBorder="1" applyAlignment="1">
      <alignment horizontal="right" vertical="center"/>
    </xf>
    <xf numFmtId="0" fontId="86" fillId="0" borderId="139" xfId="0" applyFont="1" applyFill="1" applyBorder="1" applyAlignment="1">
      <alignment vertical="center"/>
    </xf>
    <xf numFmtId="0" fontId="86" fillId="0" borderId="139" xfId="0" applyFont="1" applyFill="1" applyBorder="1" applyAlignment="1">
      <alignment horizontal="left" vertical="center"/>
    </xf>
    <xf numFmtId="0" fontId="77" fillId="0" borderId="139" xfId="0" applyFont="1" applyFill="1" applyBorder="1" applyAlignment="1">
      <alignment horizontal="right" vertical="center"/>
    </xf>
    <xf numFmtId="38" fontId="86" fillId="0" borderId="120" xfId="0" applyNumberFormat="1" applyFont="1" applyFill="1" applyBorder="1" applyAlignment="1">
      <alignment horizontal="right" vertical="center"/>
    </xf>
    <xf numFmtId="0" fontId="77" fillId="0" borderId="175" xfId="0" applyFont="1" applyFill="1" applyBorder="1" applyAlignment="1">
      <alignment horizontal="right" vertical="center"/>
    </xf>
    <xf numFmtId="0" fontId="86" fillId="0" borderId="176" xfId="0" applyFont="1" applyFill="1" applyBorder="1" applyAlignment="1">
      <alignment vertical="center"/>
    </xf>
    <xf numFmtId="0" fontId="86" fillId="0" borderId="176" xfId="0" applyFont="1" applyFill="1" applyBorder="1" applyAlignment="1">
      <alignment horizontal="left" vertical="center"/>
    </xf>
    <xf numFmtId="0" fontId="77" fillId="0" borderId="176" xfId="0" applyFont="1" applyFill="1" applyBorder="1" applyAlignment="1">
      <alignment horizontal="right" vertical="center"/>
    </xf>
    <xf numFmtId="0" fontId="77" fillId="0" borderId="86" xfId="0" applyFont="1" applyFill="1" applyBorder="1" applyAlignment="1">
      <alignment horizontal="center" vertical="center"/>
    </xf>
    <xf numFmtId="38" fontId="86" fillId="0" borderId="85" xfId="0" applyNumberFormat="1" applyFont="1" applyFill="1" applyBorder="1" applyAlignment="1">
      <alignment horizontal="right" vertical="center"/>
    </xf>
    <xf numFmtId="179" fontId="77" fillId="35" borderId="85" xfId="0" applyNumberFormat="1" applyFont="1" applyFill="1" applyBorder="1" applyAlignment="1">
      <alignment shrinkToFit="1"/>
    </xf>
    <xf numFmtId="179" fontId="77" fillId="35" borderId="85" xfId="0" applyNumberFormat="1" applyFont="1" applyFill="1" applyBorder="1" applyAlignment="1">
      <alignment vertical="center" shrinkToFit="1"/>
    </xf>
    <xf numFmtId="179" fontId="77" fillId="35" borderId="98" xfId="0" applyNumberFormat="1" applyFont="1" applyFill="1" applyBorder="1" applyAlignment="1">
      <alignment vertical="center" shrinkToFit="1"/>
    </xf>
    <xf numFmtId="0" fontId="77" fillId="28" borderId="225" xfId="0" applyFont="1" applyFill="1" applyBorder="1" applyAlignment="1">
      <alignment horizontal="left" vertical="center"/>
    </xf>
    <xf numFmtId="0" fontId="77" fillId="28" borderId="15" xfId="0" applyFont="1" applyFill="1" applyBorder="1" applyAlignment="1">
      <alignment horizontal="left" vertical="center"/>
    </xf>
    <xf numFmtId="0" fontId="77" fillId="28" borderId="151" xfId="0" applyFont="1" applyFill="1" applyBorder="1" applyAlignment="1">
      <alignment horizontal="center" vertical="center"/>
    </xf>
    <xf numFmtId="38" fontId="77" fillId="0" borderId="151" xfId="0" applyNumberFormat="1" applyFont="1" applyFill="1" applyBorder="1" applyAlignment="1">
      <alignment horizontal="right" vertical="center" shrinkToFit="1"/>
    </xf>
    <xf numFmtId="38" fontId="77" fillId="0" borderId="152" xfId="0" applyNumberFormat="1" applyFont="1" applyFill="1" applyBorder="1" applyAlignment="1">
      <alignment horizontal="right" vertical="center" shrinkToFit="1"/>
    </xf>
    <xf numFmtId="0" fontId="86" fillId="28" borderId="178" xfId="0" applyFont="1" applyFill="1" applyBorder="1" applyAlignment="1">
      <alignment horizontal="left" vertical="center"/>
    </xf>
    <xf numFmtId="0" fontId="77" fillId="28" borderId="178" xfId="0" applyFont="1" applyFill="1" applyBorder="1" applyAlignment="1">
      <alignment horizontal="left" vertical="center" shrinkToFit="1"/>
    </xf>
    <xf numFmtId="0" fontId="77" fillId="28" borderId="82" xfId="0" applyFont="1" applyFill="1" applyBorder="1" applyAlignment="1">
      <alignment horizontal="center" vertical="center"/>
    </xf>
    <xf numFmtId="38" fontId="77" fillId="20" borderId="82" xfId="0" applyNumberFormat="1" applyFont="1" applyFill="1" applyBorder="1" applyAlignment="1">
      <alignment horizontal="right" vertical="center" shrinkToFit="1"/>
    </xf>
    <xf numFmtId="38" fontId="77" fillId="20" borderId="200" xfId="0" applyNumberFormat="1" applyFont="1" applyFill="1" applyBorder="1" applyAlignment="1">
      <alignment horizontal="right" vertical="center" shrinkToFit="1"/>
    </xf>
    <xf numFmtId="0" fontId="86" fillId="0" borderId="142" xfId="0" applyFont="1" applyBorder="1" applyAlignment="1">
      <alignment vertical="center"/>
    </xf>
    <xf numFmtId="0" fontId="77" fillId="28" borderId="23" xfId="0" applyFont="1" applyFill="1" applyBorder="1" applyAlignment="1">
      <alignment horizontal="right" vertical="center"/>
    </xf>
    <xf numFmtId="38" fontId="77" fillId="28" borderId="23" xfId="0" applyNumberFormat="1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vertical="center" shrinkToFit="1"/>
    </xf>
    <xf numFmtId="38" fontId="77" fillId="16" borderId="31" xfId="0" applyNumberFormat="1" applyFont="1" applyFill="1" applyBorder="1" applyAlignment="1">
      <alignment horizontal="right" vertical="center" shrinkToFit="1"/>
    </xf>
    <xf numFmtId="0" fontId="77" fillId="28" borderId="283" xfId="0" applyFont="1" applyFill="1" applyBorder="1" applyAlignment="1">
      <alignment horizontal="right" vertical="center"/>
    </xf>
    <xf numFmtId="0" fontId="77" fillId="28" borderId="258" xfId="0" applyFont="1" applyFill="1" applyBorder="1" applyAlignment="1">
      <alignment horizontal="right" vertical="center"/>
    </xf>
    <xf numFmtId="0" fontId="77" fillId="28" borderId="176" xfId="0" applyFont="1" applyFill="1" applyBorder="1" applyAlignment="1">
      <alignment horizontal="left" vertical="center"/>
    </xf>
    <xf numFmtId="0" fontId="77" fillId="28" borderId="85" xfId="0" applyFont="1" applyFill="1" applyBorder="1" applyAlignment="1">
      <alignment horizontal="right" vertical="center"/>
    </xf>
    <xf numFmtId="38" fontId="77" fillId="16" borderId="85" xfId="0" applyNumberFormat="1" applyFont="1" applyFill="1" applyBorder="1" applyAlignment="1">
      <alignment horizontal="right" vertical="center"/>
    </xf>
    <xf numFmtId="38" fontId="90" fillId="16" borderId="85" xfId="0" applyNumberFormat="1" applyFont="1" applyFill="1" applyBorder="1" applyAlignment="1">
      <alignment horizontal="right" vertical="center" shrinkToFit="1"/>
    </xf>
    <xf numFmtId="38" fontId="90" fillId="16" borderId="98" xfId="0" applyNumberFormat="1" applyFont="1" applyFill="1" applyBorder="1" applyAlignment="1">
      <alignment horizontal="right" vertical="center" shrinkToFit="1"/>
    </xf>
    <xf numFmtId="0" fontId="77" fillId="28" borderId="0" xfId="0" applyFont="1" applyFill="1" applyBorder="1" applyAlignment="1">
      <alignment horizontal="left" vertical="center"/>
    </xf>
    <xf numFmtId="0" fontId="77" fillId="28" borderId="121" xfId="0" applyFont="1" applyFill="1" applyBorder="1" applyAlignment="1">
      <alignment horizontal="right" vertical="center"/>
    </xf>
    <xf numFmtId="38" fontId="77" fillId="28" borderId="121" xfId="0" applyNumberFormat="1" applyFont="1" applyFill="1" applyBorder="1" applyAlignment="1">
      <alignment horizontal="right" vertical="center"/>
    </xf>
    <xf numFmtId="38" fontId="77" fillId="28" borderId="121" xfId="0" applyNumberFormat="1" applyFont="1" applyFill="1" applyBorder="1" applyAlignment="1">
      <alignment horizontal="right" vertical="center" shrinkToFit="1"/>
    </xf>
    <xf numFmtId="38" fontId="77" fillId="28" borderId="204" xfId="0" applyNumberFormat="1" applyFont="1" applyFill="1" applyBorder="1" applyAlignment="1">
      <alignment horizontal="right" vertical="center" shrinkToFit="1"/>
    </xf>
    <xf numFmtId="0" fontId="77" fillId="28" borderId="178" xfId="0" applyFont="1" applyFill="1" applyBorder="1" applyAlignment="1">
      <alignment horizontal="left" vertical="center"/>
    </xf>
    <xf numFmtId="0" fontId="77" fillId="28" borderId="82" xfId="0" applyFont="1" applyFill="1" applyBorder="1" applyAlignment="1">
      <alignment horizontal="right" vertical="center"/>
    </xf>
    <xf numFmtId="0" fontId="77" fillId="28" borderId="142" xfId="0" applyFont="1" applyFill="1" applyBorder="1" applyAlignment="1">
      <alignment horizontal="right" vertical="center"/>
    </xf>
    <xf numFmtId="38" fontId="77" fillId="16" borderId="23" xfId="0" applyNumberFormat="1" applyFont="1" applyFill="1" applyBorder="1" applyAlignment="1">
      <alignment horizontal="right" vertical="center"/>
    </xf>
    <xf numFmtId="0" fontId="77" fillId="20" borderId="226" xfId="0" applyFont="1" applyFill="1" applyBorder="1" applyAlignment="1">
      <alignment horizontal="right" vertical="center"/>
    </xf>
    <xf numFmtId="0" fontId="77" fillId="20" borderId="0" xfId="0" applyFont="1" applyFill="1" applyBorder="1" applyAlignment="1">
      <alignment horizontal="right" vertical="center"/>
    </xf>
    <xf numFmtId="0" fontId="77" fillId="20" borderId="142" xfId="0" applyFont="1" applyFill="1" applyBorder="1" applyAlignment="1">
      <alignment horizontal="left" vertical="center"/>
    </xf>
    <xf numFmtId="0" fontId="77" fillId="20" borderId="23" xfId="0" applyFont="1" applyFill="1" applyBorder="1" applyAlignment="1">
      <alignment horizontal="right" vertical="center"/>
    </xf>
    <xf numFmtId="38" fontId="77" fillId="20" borderId="23" xfId="0" applyNumberFormat="1" applyFont="1" applyFill="1" applyBorder="1" applyAlignment="1">
      <alignment horizontal="right" vertical="center"/>
    </xf>
    <xf numFmtId="38" fontId="77" fillId="20" borderId="23" xfId="0" applyNumberFormat="1" applyFont="1" applyFill="1" applyBorder="1" applyAlignment="1">
      <alignment horizontal="right" vertical="center" shrinkToFit="1"/>
    </xf>
    <xf numFmtId="38" fontId="77" fillId="20" borderId="31" xfId="0" applyNumberFormat="1" applyFont="1" applyFill="1" applyBorder="1" applyAlignment="1">
      <alignment horizontal="right" vertical="center" shrinkToFit="1"/>
    </xf>
    <xf numFmtId="0" fontId="77" fillId="20" borderId="142" xfId="0" applyFont="1" applyFill="1" applyBorder="1" applyAlignment="1">
      <alignment horizontal="right" vertical="center"/>
    </xf>
    <xf numFmtId="0" fontId="77" fillId="20" borderId="258" xfId="0" applyFont="1" applyFill="1" applyBorder="1" applyAlignment="1">
      <alignment horizontal="right" vertical="center"/>
    </xf>
    <xf numFmtId="0" fontId="77" fillId="20" borderId="120" xfId="0" applyFont="1" applyFill="1" applyBorder="1" applyAlignment="1">
      <alignment horizontal="right" vertical="center"/>
    </xf>
    <xf numFmtId="38" fontId="77" fillId="20" borderId="120" xfId="0" applyNumberFormat="1" applyFont="1" applyFill="1" applyBorder="1" applyAlignment="1">
      <alignment horizontal="right" vertical="center"/>
    </xf>
    <xf numFmtId="38" fontId="77" fillId="20" borderId="120" xfId="0" applyNumberFormat="1" applyFont="1" applyFill="1" applyBorder="1" applyAlignment="1">
      <alignment horizontal="right" vertical="center" shrinkToFit="1"/>
    </xf>
    <xf numFmtId="38" fontId="77" fillId="20" borderId="122" xfId="0" applyNumberFormat="1" applyFont="1" applyFill="1" applyBorder="1" applyAlignment="1">
      <alignment horizontal="right" vertical="center" shrinkToFit="1"/>
    </xf>
    <xf numFmtId="0" fontId="77" fillId="28" borderId="14" xfId="0" applyFont="1" applyFill="1" applyBorder="1" applyAlignment="1">
      <alignment horizontal="right" vertical="center"/>
    </xf>
    <xf numFmtId="0" fontId="77" fillId="28" borderId="14" xfId="0" applyFont="1" applyFill="1" applyBorder="1" applyAlignment="1">
      <alignment horizontal="left" vertical="center"/>
    </xf>
    <xf numFmtId="0" fontId="77" fillId="28" borderId="151" xfId="0" applyFont="1" applyFill="1" applyBorder="1" applyAlignment="1">
      <alignment horizontal="right" vertical="center"/>
    </xf>
    <xf numFmtId="38" fontId="77" fillId="28" borderId="151" xfId="0" applyNumberFormat="1" applyFont="1" applyFill="1" applyBorder="1" applyAlignment="1">
      <alignment horizontal="right" vertical="center" shrinkToFit="1"/>
    </xf>
    <xf numFmtId="38" fontId="77" fillId="28" borderId="152" xfId="0" applyNumberFormat="1" applyFont="1" applyFill="1" applyBorder="1" applyAlignment="1">
      <alignment horizontal="right" vertical="center" shrinkToFit="1"/>
    </xf>
    <xf numFmtId="0" fontId="89" fillId="28" borderId="15" xfId="0" applyFont="1" applyFill="1" applyBorder="1" applyAlignment="1">
      <alignment horizontal="left" vertical="center"/>
    </xf>
    <xf numFmtId="0" fontId="87" fillId="28" borderId="15" xfId="0" applyFont="1" applyFill="1" applyBorder="1" applyAlignment="1">
      <alignment horizontal="center" vertical="center"/>
    </xf>
    <xf numFmtId="0" fontId="77" fillId="28" borderId="15" xfId="0" applyFont="1" applyFill="1" applyBorder="1" applyAlignment="1">
      <alignment horizontal="center" vertical="center"/>
    </xf>
    <xf numFmtId="0" fontId="77" fillId="28" borderId="15" xfId="0" applyFont="1" applyFill="1" applyBorder="1" applyAlignment="1">
      <alignment horizontal="left" vertical="center" shrinkToFit="1"/>
    </xf>
    <xf numFmtId="0" fontId="77" fillId="28" borderId="15" xfId="0" applyFont="1" applyFill="1" applyBorder="1" applyAlignment="1">
      <alignment horizontal="right" vertical="center" shrinkToFit="1"/>
    </xf>
    <xf numFmtId="0" fontId="77" fillId="28" borderId="229" xfId="0" applyFont="1" applyFill="1" applyBorder="1" applyAlignment="1">
      <alignment horizontal="right" vertical="center"/>
    </xf>
    <xf numFmtId="0" fontId="89" fillId="28" borderId="283" xfId="0" applyFont="1" applyFill="1" applyBorder="1" applyAlignment="1">
      <alignment horizontal="left" vertical="center"/>
    </xf>
    <xf numFmtId="0" fontId="87" fillId="28" borderId="226" xfId="0" applyFont="1" applyFill="1" applyBorder="1" applyAlignment="1">
      <alignment horizontal="left" vertical="center"/>
    </xf>
    <xf numFmtId="0" fontId="87" fillId="28" borderId="258" xfId="0" applyFont="1" applyFill="1" applyBorder="1" applyAlignment="1">
      <alignment horizontal="left" vertical="center"/>
    </xf>
    <xf numFmtId="0" fontId="77" fillId="28" borderId="89" xfId="0" applyFont="1" applyFill="1" applyBorder="1" applyAlignment="1">
      <alignment horizontal="center" vertical="center"/>
    </xf>
    <xf numFmtId="0" fontId="77" fillId="28" borderId="89" xfId="0" applyFont="1" applyFill="1" applyBorder="1" applyAlignment="1">
      <alignment horizontal="right" vertical="center"/>
    </xf>
    <xf numFmtId="0" fontId="77" fillId="28" borderId="89" xfId="0" applyFont="1" applyFill="1" applyBorder="1" applyAlignment="1">
      <alignment horizontal="right" vertical="center" shrinkToFit="1"/>
    </xf>
    <xf numFmtId="0" fontId="77" fillId="28" borderId="100" xfId="0" applyFont="1" applyFill="1" applyBorder="1" applyAlignment="1">
      <alignment horizontal="right" vertical="center" shrinkToFit="1"/>
    </xf>
    <xf numFmtId="38" fontId="77" fillId="11" borderId="82" xfId="0" applyNumberFormat="1" applyFont="1" applyFill="1" applyBorder="1" applyAlignment="1">
      <alignment horizontal="right" vertical="center" shrinkToFit="1"/>
    </xf>
    <xf numFmtId="38" fontId="77" fillId="11" borderId="200" xfId="0" applyNumberFormat="1" applyFont="1" applyFill="1" applyBorder="1" applyAlignment="1">
      <alignment horizontal="right" vertical="center" shrinkToFit="1"/>
    </xf>
    <xf numFmtId="0" fontId="77" fillId="16" borderId="141" xfId="0" applyFont="1" applyFill="1" applyBorder="1" applyAlignment="1">
      <alignment horizontal="left" vertical="center" shrinkToFit="1"/>
    </xf>
    <xf numFmtId="0" fontId="77" fillId="16" borderId="95" xfId="0" applyFont="1" applyFill="1" applyBorder="1" applyAlignment="1">
      <alignment horizontal="right" vertical="center"/>
    </xf>
    <xf numFmtId="38" fontId="77" fillId="16" borderId="95" xfId="0" applyNumberFormat="1" applyFont="1" applyFill="1" applyBorder="1" applyAlignment="1">
      <alignment horizontal="right" vertical="center"/>
    </xf>
    <xf numFmtId="38" fontId="86" fillId="16" borderId="95" xfId="0" applyNumberFormat="1" applyFont="1" applyFill="1" applyBorder="1" applyAlignment="1">
      <alignment horizontal="right" vertical="center" shrinkToFit="1"/>
    </xf>
    <xf numFmtId="38" fontId="86" fillId="16" borderId="99" xfId="0" applyNumberFormat="1" applyFont="1" applyFill="1" applyBorder="1" applyAlignment="1">
      <alignment horizontal="right" vertical="center" shrinkToFit="1"/>
    </xf>
    <xf numFmtId="0" fontId="77" fillId="16" borderId="142" xfId="0" applyFont="1" applyFill="1" applyBorder="1" applyAlignment="1">
      <alignment horizontal="left" vertical="center" shrinkToFit="1"/>
    </xf>
    <xf numFmtId="0" fontId="77" fillId="16" borderId="23" xfId="0" applyFont="1" applyFill="1" applyBorder="1" applyAlignment="1">
      <alignment horizontal="right" vertical="center"/>
    </xf>
    <xf numFmtId="0" fontId="101" fillId="28" borderId="142" xfId="0" applyFont="1" applyFill="1" applyBorder="1" applyAlignment="1">
      <alignment horizontal="left" vertical="center"/>
    </xf>
    <xf numFmtId="0" fontId="77" fillId="28" borderId="142" xfId="0" applyFont="1" applyFill="1" applyBorder="1" applyAlignment="1">
      <alignment horizontal="left" vertical="center" shrinkToFit="1"/>
    </xf>
    <xf numFmtId="38" fontId="90" fillId="24" borderId="23" xfId="0" applyNumberFormat="1" applyFont="1" applyFill="1" applyBorder="1" applyAlignment="1">
      <alignment horizontal="right" vertical="center" shrinkToFit="1"/>
    </xf>
    <xf numFmtId="38" fontId="90" fillId="24" borderId="31" xfId="0" applyNumberFormat="1" applyFont="1" applyFill="1" applyBorder="1" applyAlignment="1">
      <alignment horizontal="right" vertical="center" shrinkToFit="1"/>
    </xf>
    <xf numFmtId="38" fontId="90" fillId="16" borderId="23" xfId="0" applyNumberFormat="1" applyFont="1" applyFill="1" applyBorder="1" applyAlignment="1">
      <alignment horizontal="right" vertical="center" shrinkToFit="1"/>
    </xf>
    <xf numFmtId="38" fontId="90" fillId="16" borderId="31" xfId="0" applyNumberFormat="1" applyFont="1" applyFill="1" applyBorder="1" applyAlignment="1">
      <alignment horizontal="right" vertical="center" shrinkToFit="1"/>
    </xf>
    <xf numFmtId="38" fontId="77" fillId="11" borderId="23" xfId="0" applyNumberFormat="1" applyFont="1" applyFill="1" applyBorder="1" applyAlignment="1">
      <alignment horizontal="right" shrinkToFit="1"/>
    </xf>
    <xf numFmtId="38" fontId="77" fillId="11" borderId="23" xfId="0" applyNumberFormat="1" applyFont="1" applyFill="1" applyBorder="1" applyAlignment="1">
      <alignment horizontal="right" vertical="center" shrinkToFit="1"/>
    </xf>
    <xf numFmtId="38" fontId="77" fillId="11" borderId="31" xfId="0" applyNumberFormat="1" applyFont="1" applyFill="1" applyBorder="1" applyAlignment="1">
      <alignment horizontal="right" vertical="center" shrinkToFit="1"/>
    </xf>
    <xf numFmtId="0" fontId="102" fillId="28" borderId="142" xfId="0" applyFont="1" applyFill="1" applyBorder="1" applyAlignment="1">
      <alignment horizontal="left" vertical="center" shrinkToFit="1"/>
    </xf>
    <xf numFmtId="0" fontId="90" fillId="28" borderId="142" xfId="0" applyFont="1" applyFill="1" applyBorder="1" applyAlignment="1">
      <alignment horizontal="left" vertical="center" shrinkToFit="1"/>
    </xf>
    <xf numFmtId="38" fontId="77" fillId="0" borderId="23" xfId="0" applyNumberFormat="1" applyFont="1" applyFill="1" applyBorder="1" applyAlignment="1">
      <alignment horizontal="right" vertical="center" shrinkToFit="1"/>
    </xf>
    <xf numFmtId="38" fontId="77" fillId="0" borderId="31" xfId="0" applyNumberFormat="1" applyFont="1" applyFill="1" applyBorder="1" applyAlignment="1">
      <alignment horizontal="right" vertical="center" shrinkToFit="1"/>
    </xf>
    <xf numFmtId="0" fontId="77" fillId="28" borderId="52" xfId="0" applyFont="1" applyFill="1" applyBorder="1" applyAlignment="1">
      <alignment horizontal="left" vertical="center" shrinkToFit="1"/>
    </xf>
    <xf numFmtId="191" fontId="77" fillId="0" borderId="140" xfId="0" applyNumberFormat="1" applyFont="1" applyFill="1" applyBorder="1" applyAlignment="1">
      <alignment vertical="center" shrinkToFit="1"/>
    </xf>
    <xf numFmtId="10" fontId="77" fillId="0" borderId="23" xfId="0" applyNumberFormat="1" applyFont="1" applyFill="1" applyBorder="1" applyAlignment="1">
      <alignment horizontal="right" vertical="center" shrinkToFit="1"/>
    </xf>
    <xf numFmtId="0" fontId="77" fillId="29" borderId="142" xfId="0" applyFont="1" applyFill="1" applyBorder="1" applyAlignment="1">
      <alignment horizontal="left" vertical="center" shrinkToFit="1"/>
    </xf>
    <xf numFmtId="0" fontId="77" fillId="28" borderId="142" xfId="0" quotePrefix="1" applyFont="1" applyFill="1" applyBorder="1" applyAlignment="1">
      <alignment horizontal="left" vertical="center" shrinkToFit="1"/>
    </xf>
    <xf numFmtId="0" fontId="91" fillId="28" borderId="142" xfId="0" applyFont="1" applyFill="1" applyBorder="1" applyAlignment="1">
      <alignment horizontal="left" vertical="center"/>
    </xf>
    <xf numFmtId="0" fontId="91" fillId="29" borderId="142" xfId="0" applyFont="1" applyFill="1" applyBorder="1" applyAlignment="1">
      <alignment horizontal="left" vertical="center"/>
    </xf>
    <xf numFmtId="38" fontId="77" fillId="24" borderId="23" xfId="0" applyNumberFormat="1" applyFont="1" applyFill="1" applyBorder="1" applyAlignment="1">
      <alignment horizontal="right" vertical="center" shrinkToFit="1"/>
    </xf>
    <xf numFmtId="38" fontId="77" fillId="24" borderId="31" xfId="0" applyNumberFormat="1" applyFont="1" applyFill="1" applyBorder="1" applyAlignment="1">
      <alignment horizontal="right" vertical="center" shrinkToFit="1"/>
    </xf>
    <xf numFmtId="0" fontId="86" fillId="28" borderId="142" xfId="0" applyFont="1" applyFill="1" applyBorder="1" applyAlignment="1">
      <alignment horizontal="left" vertical="center" shrinkToFit="1"/>
    </xf>
    <xf numFmtId="0" fontId="86" fillId="28" borderId="23" xfId="0" applyFont="1" applyFill="1" applyBorder="1" applyAlignment="1">
      <alignment horizontal="right" vertical="center"/>
    </xf>
    <xf numFmtId="38" fontId="77" fillId="30" borderId="23" xfId="0" applyNumberFormat="1" applyFont="1" applyFill="1" applyBorder="1" applyAlignment="1">
      <alignment horizontal="right" vertical="center" shrinkToFit="1"/>
    </xf>
    <xf numFmtId="38" fontId="77" fillId="30" borderId="31" xfId="0" applyNumberFormat="1" applyFont="1" applyFill="1" applyBorder="1" applyAlignment="1">
      <alignment horizontal="right" vertical="center" shrinkToFit="1"/>
    </xf>
    <xf numFmtId="0" fontId="86" fillId="29" borderId="142" xfId="0" applyFont="1" applyFill="1" applyBorder="1" applyAlignment="1">
      <alignment horizontal="left" vertical="center" shrinkToFit="1"/>
    </xf>
    <xf numFmtId="0" fontId="91" fillId="29" borderId="176" xfId="0" applyFont="1" applyFill="1" applyBorder="1" applyAlignment="1">
      <alignment horizontal="left" vertical="center"/>
    </xf>
    <xf numFmtId="0" fontId="77" fillId="28" borderId="176" xfId="0" applyFont="1" applyFill="1" applyBorder="1" applyAlignment="1">
      <alignment horizontal="left" vertical="center" shrinkToFit="1"/>
    </xf>
    <xf numFmtId="38" fontId="77" fillId="28" borderId="85" xfId="0" applyNumberFormat="1" applyFont="1" applyFill="1" applyBorder="1" applyAlignment="1">
      <alignment horizontal="right" vertical="center"/>
    </xf>
    <xf numFmtId="38" fontId="77" fillId="24" borderId="85" xfId="0" applyNumberFormat="1" applyFont="1" applyFill="1" applyBorder="1" applyAlignment="1">
      <alignment horizontal="right" vertical="center" shrinkToFit="1"/>
    </xf>
    <xf numFmtId="38" fontId="77" fillId="24" borderId="98" xfId="0" applyNumberFormat="1" applyFont="1" applyFill="1" applyBorder="1" applyAlignment="1">
      <alignment horizontal="right" vertical="center" shrinkToFit="1"/>
    </xf>
    <xf numFmtId="0" fontId="82" fillId="0" borderId="0" xfId="0" applyFont="1" applyFill="1" applyBorder="1" applyAlignment="1">
      <alignment horizontal="right" vertical="center"/>
    </xf>
    <xf numFmtId="0" fontId="103" fillId="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right" vertical="center" shrinkToFit="1"/>
    </xf>
    <xf numFmtId="0" fontId="82" fillId="0" borderId="0" xfId="0" applyFont="1" applyFill="1" applyBorder="1" applyAlignment="1">
      <alignment horizontal="center" vertical="center" shrinkToFit="1"/>
    </xf>
    <xf numFmtId="0" fontId="82" fillId="0" borderId="0" xfId="0" applyFont="1" applyFill="1" applyBorder="1" applyAlignment="1">
      <alignment vertical="center"/>
    </xf>
    <xf numFmtId="0" fontId="104" fillId="0" borderId="0" xfId="0" applyFont="1" applyFill="1" applyBorder="1" applyAlignment="1">
      <alignment horizontal="left" vertical="center"/>
    </xf>
    <xf numFmtId="0" fontId="82" fillId="0" borderId="258" xfId="0" applyFont="1" applyFill="1" applyBorder="1" applyAlignment="1">
      <alignment horizontal="right" vertical="center" shrinkToFit="1"/>
    </xf>
    <xf numFmtId="0" fontId="82" fillId="0" borderId="224" xfId="0" applyFont="1" applyFill="1" applyBorder="1" applyAlignment="1">
      <alignment horizontal="right" vertical="center"/>
    </xf>
    <xf numFmtId="0" fontId="82" fillId="0" borderId="225" xfId="0" applyFont="1" applyFill="1" applyBorder="1" applyAlignment="1">
      <alignment horizontal="right" vertical="center"/>
    </xf>
    <xf numFmtId="0" fontId="82" fillId="0" borderId="231" xfId="0" applyFont="1" applyFill="1" applyBorder="1" applyAlignment="1">
      <alignment horizontal="center" vertical="center"/>
    </xf>
    <xf numFmtId="0" fontId="82" fillId="0" borderId="231" xfId="0" applyFont="1" applyFill="1" applyBorder="1" applyAlignment="1">
      <alignment horizontal="center" vertical="center" shrinkToFit="1"/>
    </xf>
    <xf numFmtId="0" fontId="82" fillId="0" borderId="232" xfId="0" applyFont="1" applyFill="1" applyBorder="1" applyAlignment="1">
      <alignment horizontal="center" vertical="center" shrinkToFit="1"/>
    </xf>
    <xf numFmtId="38" fontId="82" fillId="0" borderId="89" xfId="0" applyNumberFormat="1" applyFont="1" applyFill="1" applyBorder="1" applyAlignment="1">
      <alignment horizontal="right" vertical="center"/>
    </xf>
    <xf numFmtId="38" fontId="82" fillId="0" borderId="89" xfId="0" applyNumberFormat="1" applyFont="1" applyFill="1" applyBorder="1" applyAlignment="1">
      <alignment horizontal="right" vertical="center" shrinkToFit="1"/>
    </xf>
    <xf numFmtId="38" fontId="82" fillId="0" borderId="100" xfId="0" applyNumberFormat="1" applyFont="1" applyFill="1" applyBorder="1" applyAlignment="1">
      <alignment horizontal="right" vertical="center" shrinkToFit="1"/>
    </xf>
    <xf numFmtId="38" fontId="82" fillId="0" borderId="0" xfId="0" applyNumberFormat="1" applyFont="1" applyFill="1" applyBorder="1" applyAlignment="1">
      <alignment horizontal="right" vertical="center" shrinkToFit="1"/>
    </xf>
    <xf numFmtId="0" fontId="82" fillId="0" borderId="83" xfId="0" applyFont="1" applyFill="1" applyBorder="1" applyAlignment="1">
      <alignment vertical="center"/>
    </xf>
    <xf numFmtId="0" fontId="82" fillId="0" borderId="178" xfId="0" applyFont="1" applyFill="1" applyBorder="1" applyAlignment="1">
      <alignment vertical="center" shrinkToFit="1"/>
    </xf>
    <xf numFmtId="0" fontId="82" fillId="0" borderId="233" xfId="0" applyFont="1" applyFill="1" applyBorder="1" applyAlignment="1">
      <alignment vertical="center" shrinkToFit="1"/>
    </xf>
    <xf numFmtId="38" fontId="90" fillId="0" borderId="231" xfId="0" applyNumberFormat="1" applyFont="1" applyFill="1" applyBorder="1" applyAlignment="1">
      <alignment horizontal="right" vertical="center"/>
    </xf>
    <xf numFmtId="38" fontId="90" fillId="0" borderId="231" xfId="0" applyNumberFormat="1" applyFont="1" applyFill="1" applyBorder="1" applyAlignment="1">
      <alignment horizontal="right" vertical="center" shrinkToFit="1"/>
    </xf>
    <xf numFmtId="38" fontId="90" fillId="0" borderId="232" xfId="0" applyNumberFormat="1" applyFont="1" applyFill="1" applyBorder="1" applyAlignment="1">
      <alignment horizontal="right" vertical="center" shrinkToFit="1"/>
    </xf>
    <xf numFmtId="38" fontId="81" fillId="0" borderId="0" xfId="0" applyNumberFormat="1" applyFont="1" applyFill="1" applyBorder="1" applyAlignment="1">
      <alignment horizontal="right" vertical="center" shrinkToFit="1"/>
    </xf>
    <xf numFmtId="0" fontId="82" fillId="0" borderId="23" xfId="0" applyFont="1" applyFill="1" applyBorder="1" applyAlignment="1">
      <alignment horizontal="left" vertical="center" shrinkToFit="1"/>
    </xf>
    <xf numFmtId="192" fontId="82" fillId="0" borderId="23" xfId="0" applyNumberFormat="1" applyFont="1" applyFill="1" applyBorder="1" applyAlignment="1">
      <alignment horizontal="right" vertical="center" shrinkToFit="1"/>
    </xf>
    <xf numFmtId="10" fontId="82" fillId="0" borderId="23" xfId="0" quotePrefix="1" applyNumberFormat="1" applyFont="1" applyFill="1" applyBorder="1" applyAlignment="1">
      <alignment horizontal="center" vertical="center" shrinkToFit="1"/>
    </xf>
    <xf numFmtId="38" fontId="90" fillId="0" borderId="23" xfId="0" applyNumberFormat="1" applyFont="1" applyFill="1" applyBorder="1" applyAlignment="1">
      <alignment horizontal="right" vertical="center"/>
    </xf>
    <xf numFmtId="38" fontId="90" fillId="0" borderId="23" xfId="0" applyNumberFormat="1" applyFont="1" applyFill="1" applyBorder="1" applyAlignment="1">
      <alignment horizontal="right" vertical="center" shrinkToFit="1"/>
    </xf>
    <xf numFmtId="38" fontId="90" fillId="0" borderId="31" xfId="0" applyNumberFormat="1" applyFont="1" applyFill="1" applyBorder="1" applyAlignment="1">
      <alignment horizontal="right" vertical="center" shrinkToFit="1"/>
    </xf>
    <xf numFmtId="10" fontId="90" fillId="0" borderId="23" xfId="0" applyNumberFormat="1" applyFont="1" applyFill="1" applyBorder="1" applyAlignment="1">
      <alignment horizontal="right" vertical="center" shrinkToFit="1"/>
    </xf>
    <xf numFmtId="10" fontId="90" fillId="11" borderId="23" xfId="0" applyNumberFormat="1" applyFont="1" applyFill="1" applyBorder="1" applyAlignment="1">
      <alignment horizontal="right" vertical="center" shrinkToFit="1"/>
    </xf>
    <xf numFmtId="192" fontId="90" fillId="0" borderId="23" xfId="0" applyNumberFormat="1" applyFont="1" applyFill="1" applyBorder="1" applyAlignment="1">
      <alignment horizontal="right" vertical="center" shrinkToFit="1"/>
    </xf>
    <xf numFmtId="0" fontId="82" fillId="28" borderId="23" xfId="0" quotePrefix="1" applyFont="1" applyFill="1" applyBorder="1" applyAlignment="1">
      <alignment horizontal="left" vertical="center" shrinkToFit="1"/>
    </xf>
    <xf numFmtId="10" fontId="82" fillId="0" borderId="23" xfId="0" applyNumberFormat="1" applyFont="1" applyFill="1" applyBorder="1" applyAlignment="1">
      <alignment horizontal="right" vertical="center" shrinkToFit="1"/>
    </xf>
    <xf numFmtId="38" fontId="82" fillId="0" borderId="23" xfId="0" applyNumberFormat="1" applyFont="1" applyFill="1" applyBorder="1" applyAlignment="1">
      <alignment horizontal="right" vertical="center" shrinkToFit="1"/>
    </xf>
    <xf numFmtId="38" fontId="82" fillId="0" borderId="31" xfId="0" applyNumberFormat="1" applyFont="1" applyFill="1" applyBorder="1" applyAlignment="1">
      <alignment horizontal="right" vertical="center" shrinkToFit="1"/>
    </xf>
    <xf numFmtId="0" fontId="82" fillId="28" borderId="203" xfId="0" applyFont="1" applyFill="1" applyBorder="1" applyAlignment="1">
      <alignment horizontal="center" vertical="center" shrinkToFit="1"/>
    </xf>
    <xf numFmtId="49" fontId="90" fillId="0" borderId="85" xfId="0" applyNumberFormat="1" applyFont="1" applyFill="1" applyBorder="1" applyAlignment="1">
      <alignment horizontal="left" vertical="center" shrinkToFit="1"/>
    </xf>
    <xf numFmtId="192" fontId="82" fillId="0" borderId="85" xfId="0" applyNumberFormat="1" applyFont="1" applyFill="1" applyBorder="1" applyAlignment="1">
      <alignment horizontal="right" vertical="center" shrinkToFit="1"/>
    </xf>
    <xf numFmtId="10" fontId="82" fillId="0" borderId="85" xfId="0" applyNumberFormat="1" applyFont="1" applyFill="1" applyBorder="1" applyAlignment="1">
      <alignment horizontal="right" vertical="center" shrinkToFit="1"/>
    </xf>
    <xf numFmtId="38" fontId="90" fillId="24" borderId="85" xfId="0" applyNumberFormat="1" applyFont="1" applyFill="1" applyBorder="1" applyAlignment="1">
      <alignment horizontal="right" vertical="center"/>
    </xf>
    <xf numFmtId="38" fontId="90" fillId="24" borderId="85" xfId="0" applyNumberFormat="1" applyFont="1" applyFill="1" applyBorder="1" applyAlignment="1">
      <alignment horizontal="right" vertical="center" shrinkToFit="1"/>
    </xf>
    <xf numFmtId="38" fontId="90" fillId="24" borderId="98" xfId="0" applyNumberFormat="1" applyFont="1" applyFill="1" applyBorder="1" applyAlignment="1">
      <alignment horizontal="right" vertical="center" shrinkToFit="1"/>
    </xf>
    <xf numFmtId="0" fontId="82" fillId="0" borderId="224" xfId="0" applyFont="1" applyFill="1" applyBorder="1" applyAlignment="1">
      <alignment horizontal="center" vertical="center" shrinkToFit="1"/>
    </xf>
    <xf numFmtId="0" fontId="82" fillId="28" borderId="225" xfId="0" applyFont="1" applyFill="1" applyBorder="1" applyAlignment="1">
      <alignment horizontal="center" vertical="center" shrinkToFit="1"/>
    </xf>
    <xf numFmtId="0" fontId="82" fillId="28" borderId="225" xfId="0" applyFont="1" applyFill="1" applyBorder="1" applyAlignment="1">
      <alignment horizontal="left" vertical="center" shrinkToFit="1"/>
    </xf>
    <xf numFmtId="38" fontId="82" fillId="0" borderId="231" xfId="0" applyNumberFormat="1" applyFont="1" applyFill="1" applyBorder="1" applyAlignment="1">
      <alignment horizontal="right" vertical="center"/>
    </xf>
    <xf numFmtId="38" fontId="82" fillId="0" borderId="231" xfId="0" applyNumberFormat="1" applyFont="1" applyFill="1" applyBorder="1" applyAlignment="1">
      <alignment horizontal="right" vertical="center" shrinkToFit="1"/>
    </xf>
    <xf numFmtId="38" fontId="82" fillId="0" borderId="232" xfId="0" applyNumberFormat="1" applyFont="1" applyFill="1" applyBorder="1" applyAlignment="1">
      <alignment horizontal="right" vertical="center" shrinkToFit="1"/>
    </xf>
    <xf numFmtId="0" fontId="82" fillId="0" borderId="231" xfId="0" applyFont="1" applyFill="1" applyBorder="1" applyAlignment="1">
      <alignment horizontal="left" vertical="center" shrinkToFit="1"/>
    </xf>
    <xf numFmtId="192" fontId="82" fillId="0" borderId="231" xfId="0" applyNumberFormat="1" applyFont="1" applyFill="1" applyBorder="1" applyAlignment="1">
      <alignment vertical="center" shrinkToFit="1"/>
    </xf>
    <xf numFmtId="10" fontId="82" fillId="0" borderId="82" xfId="0" applyNumberFormat="1" applyFont="1" applyFill="1" applyBorder="1" applyAlignment="1">
      <alignment horizontal="center" vertical="center"/>
    </xf>
    <xf numFmtId="38" fontId="105" fillId="0" borderId="82" xfId="0" applyNumberFormat="1" applyFont="1" applyFill="1" applyBorder="1" applyAlignment="1">
      <alignment horizontal="right" vertical="center"/>
    </xf>
    <xf numFmtId="10" fontId="82" fillId="0" borderId="82" xfId="0" applyNumberFormat="1" applyFont="1" applyFill="1" applyBorder="1" applyAlignment="1">
      <alignment horizontal="left" vertical="center" shrinkToFit="1"/>
    </xf>
    <xf numFmtId="10" fontId="82" fillId="0" borderId="200" xfId="0" applyNumberFormat="1" applyFont="1" applyFill="1" applyBorder="1" applyAlignment="1">
      <alignment horizontal="left" vertical="center" shrinkToFit="1"/>
    </xf>
    <xf numFmtId="10" fontId="82" fillId="0" borderId="0" xfId="0" applyNumberFormat="1" applyFont="1" applyFill="1" applyBorder="1" applyAlignment="1">
      <alignment horizontal="left" vertical="center" shrinkToFit="1"/>
    </xf>
    <xf numFmtId="0" fontId="82" fillId="0" borderId="95" xfId="0" applyFont="1" applyFill="1" applyBorder="1" applyAlignment="1">
      <alignment horizontal="left" vertical="center" shrinkToFit="1"/>
    </xf>
    <xf numFmtId="192" fontId="82" fillId="0" borderId="95" xfId="0" applyNumberFormat="1" applyFont="1" applyFill="1" applyBorder="1" applyAlignment="1">
      <alignment vertical="center" shrinkToFit="1"/>
    </xf>
    <xf numFmtId="10" fontId="82" fillId="0" borderId="23" xfId="0" applyNumberFormat="1" applyFont="1" applyFill="1" applyBorder="1" applyAlignment="1">
      <alignment horizontal="center" vertical="center"/>
    </xf>
    <xf numFmtId="38" fontId="82" fillId="0" borderId="23" xfId="0" applyNumberFormat="1" applyFont="1" applyFill="1" applyBorder="1" applyAlignment="1">
      <alignment horizontal="right" vertical="center"/>
    </xf>
    <xf numFmtId="38" fontId="82" fillId="0" borderId="95" xfId="0" applyNumberFormat="1" applyFont="1" applyFill="1" applyBorder="1" applyAlignment="1">
      <alignment horizontal="right" vertical="center" shrinkToFit="1"/>
    </xf>
    <xf numFmtId="0" fontId="82" fillId="0" borderId="120" xfId="0" applyFont="1" applyFill="1" applyBorder="1" applyAlignment="1">
      <alignment horizontal="left" vertical="center" shrinkToFit="1"/>
    </xf>
    <xf numFmtId="0" fontId="82" fillId="0" borderId="139" xfId="0" applyFont="1" applyFill="1" applyBorder="1" applyAlignment="1">
      <alignment vertical="center"/>
    </xf>
    <xf numFmtId="38" fontId="105" fillId="0" borderId="23" xfId="0" applyNumberFormat="1" applyFont="1" applyFill="1" applyBorder="1" applyAlignment="1">
      <alignment horizontal="right" vertical="center"/>
    </xf>
    <xf numFmtId="10" fontId="82" fillId="0" borderId="23" xfId="0" applyNumberFormat="1" applyFont="1" applyFill="1" applyBorder="1" applyAlignment="1">
      <alignment horizontal="left" vertical="center" shrinkToFit="1"/>
    </xf>
    <xf numFmtId="10" fontId="82" fillId="0" borderId="31" xfId="0" applyNumberFormat="1" applyFont="1" applyFill="1" applyBorder="1" applyAlignment="1">
      <alignment horizontal="left" vertical="center" shrinkToFit="1"/>
    </xf>
    <xf numFmtId="38" fontId="82" fillId="0" borderId="99" xfId="0" applyNumberFormat="1" applyFont="1" applyFill="1" applyBorder="1" applyAlignment="1">
      <alignment horizontal="right" vertical="center" shrinkToFit="1"/>
    </xf>
    <xf numFmtId="10" fontId="82" fillId="0" borderId="95" xfId="0" applyNumberFormat="1" applyFont="1" applyFill="1" applyBorder="1" applyAlignment="1">
      <alignment horizontal="center" vertical="center"/>
    </xf>
    <xf numFmtId="0" fontId="82" fillId="28" borderId="228" xfId="0" applyFont="1" applyFill="1" applyBorder="1" applyAlignment="1">
      <alignment horizontal="center" vertical="center" textRotation="255"/>
    </xf>
    <xf numFmtId="38" fontId="90" fillId="0" borderId="95" xfId="0" applyNumberFormat="1" applyFont="1" applyFill="1" applyBorder="1" applyAlignment="1">
      <alignment horizontal="right" vertical="center" shrinkToFit="1"/>
    </xf>
    <xf numFmtId="38" fontId="90" fillId="0" borderId="99" xfId="0" applyNumberFormat="1" applyFont="1" applyFill="1" applyBorder="1" applyAlignment="1">
      <alignment horizontal="right" vertical="center" shrinkToFit="1"/>
    </xf>
    <xf numFmtId="192" fontId="82" fillId="0" borderId="23" xfId="0" applyNumberFormat="1" applyFont="1" applyFill="1" applyBorder="1" applyAlignment="1">
      <alignment vertical="center" shrinkToFit="1"/>
    </xf>
    <xf numFmtId="0" fontId="82" fillId="28" borderId="288" xfId="0" applyFont="1" applyFill="1" applyBorder="1" applyAlignment="1">
      <alignment horizontal="center" vertical="center" shrinkToFit="1"/>
    </xf>
    <xf numFmtId="192" fontId="82" fillId="0" borderId="289" xfId="0" applyNumberFormat="1" applyFont="1" applyFill="1" applyBorder="1" applyAlignment="1">
      <alignment vertical="center" shrinkToFit="1"/>
    </xf>
    <xf numFmtId="10" fontId="82" fillId="0" borderId="289" xfId="0" applyNumberFormat="1" applyFont="1" applyFill="1" applyBorder="1" applyAlignment="1">
      <alignment horizontal="right" vertical="center" shrinkToFit="1"/>
    </xf>
    <xf numFmtId="0" fontId="82" fillId="0" borderId="240" xfId="0" applyFont="1" applyFill="1" applyBorder="1" applyAlignment="1">
      <alignment horizontal="right" vertical="center"/>
    </xf>
    <xf numFmtId="0" fontId="82" fillId="0" borderId="241" xfId="0" applyFont="1" applyFill="1" applyBorder="1" applyAlignment="1">
      <alignment horizontal="right" vertical="center"/>
    </xf>
    <xf numFmtId="0" fontId="82" fillId="0" borderId="241" xfId="0" applyFont="1" applyFill="1" applyBorder="1" applyAlignment="1">
      <alignment horizontal="left" vertical="center"/>
    </xf>
    <xf numFmtId="0" fontId="82" fillId="0" borderId="242" xfId="0" applyFont="1" applyFill="1" applyBorder="1" applyAlignment="1">
      <alignment horizontal="left" vertical="center"/>
    </xf>
    <xf numFmtId="0" fontId="82" fillId="0" borderId="242" xfId="0" applyFont="1" applyFill="1" applyBorder="1" applyAlignment="1">
      <alignment horizontal="right" vertical="center"/>
    </xf>
    <xf numFmtId="38" fontId="82" fillId="0" borderId="242" xfId="0" applyNumberFormat="1" applyFont="1" applyFill="1" applyBorder="1" applyAlignment="1">
      <alignment horizontal="right" vertical="center"/>
    </xf>
    <xf numFmtId="38" fontId="82" fillId="0" borderId="242" xfId="0" applyNumberFormat="1" applyFont="1" applyFill="1" applyBorder="1" applyAlignment="1">
      <alignment horizontal="right" vertical="center" shrinkToFit="1"/>
    </xf>
    <xf numFmtId="38" fontId="82" fillId="0" borderId="243" xfId="0" applyNumberFormat="1" applyFont="1" applyFill="1" applyBorder="1" applyAlignment="1">
      <alignment horizontal="right" vertical="center" shrinkToFit="1"/>
    </xf>
    <xf numFmtId="0" fontId="77" fillId="28" borderId="0" xfId="0" applyFont="1" applyFill="1" applyBorder="1" applyAlignment="1">
      <alignment horizontal="center" vertical="center" textRotation="255"/>
    </xf>
    <xf numFmtId="0" fontId="86" fillId="28" borderId="0" xfId="0" applyFont="1" applyFill="1" applyBorder="1" applyAlignment="1">
      <alignment horizontal="left" vertical="center" shrinkToFit="1"/>
    </xf>
    <xf numFmtId="0" fontId="77" fillId="28" borderId="0" xfId="0" applyFont="1" applyFill="1" applyBorder="1" applyAlignment="1">
      <alignment horizontal="left" vertical="center" shrinkToFit="1"/>
    </xf>
    <xf numFmtId="38" fontId="77" fillId="28" borderId="0" xfId="0" applyNumberFormat="1" applyFont="1" applyFill="1" applyBorder="1" applyAlignment="1">
      <alignment horizontal="right" vertical="center"/>
    </xf>
    <xf numFmtId="38" fontId="77" fillId="11" borderId="0" xfId="0" applyNumberFormat="1" applyFont="1" applyFill="1" applyBorder="1" applyAlignment="1">
      <alignment horizontal="right" vertical="center" shrinkToFit="1"/>
    </xf>
    <xf numFmtId="0" fontId="107" fillId="0" borderId="0" xfId="0" applyFont="1" applyFill="1" applyBorder="1" applyAlignment="1">
      <alignment horizontal="left" vertical="center"/>
    </xf>
    <xf numFmtId="0" fontId="77" fillId="0" borderId="231" xfId="0" applyFont="1" applyFill="1" applyBorder="1" applyAlignment="1">
      <alignment horizontal="center" vertical="center"/>
    </xf>
    <xf numFmtId="0" fontId="77" fillId="0" borderId="231" xfId="0" applyFont="1" applyFill="1" applyBorder="1" applyAlignment="1">
      <alignment horizontal="center" vertical="center" shrinkToFit="1"/>
    </xf>
    <xf numFmtId="0" fontId="77" fillId="0" borderId="248" xfId="0" applyFont="1" applyFill="1" applyBorder="1" applyAlignment="1">
      <alignment horizontal="center" vertical="center" shrinkToFit="1"/>
    </xf>
    <xf numFmtId="38" fontId="77" fillId="0" borderId="89" xfId="0" applyNumberFormat="1" applyFont="1" applyFill="1" applyBorder="1" applyAlignment="1">
      <alignment horizontal="right" vertical="center"/>
    </xf>
    <xf numFmtId="38" fontId="77" fillId="0" borderId="89" xfId="0" applyNumberFormat="1" applyFont="1" applyFill="1" applyBorder="1" applyAlignment="1">
      <alignment horizontal="right" vertical="center" shrinkToFit="1"/>
    </xf>
    <xf numFmtId="38" fontId="77" fillId="0" borderId="261" xfId="0" applyNumberFormat="1" applyFont="1" applyFill="1" applyBorder="1" applyAlignment="1">
      <alignment horizontal="right" vertical="center" shrinkToFit="1"/>
    </xf>
    <xf numFmtId="0" fontId="89" fillId="0" borderId="226" xfId="0" applyFont="1" applyFill="1" applyBorder="1" applyAlignment="1">
      <alignment horizontal="left" vertical="center" shrinkToFit="1"/>
    </xf>
    <xf numFmtId="0" fontId="77" fillId="0" borderId="83" xfId="0" applyFont="1" applyFill="1" applyBorder="1" applyAlignment="1">
      <alignment vertical="center"/>
    </xf>
    <xf numFmtId="0" fontId="77" fillId="0" borderId="233" xfId="0" applyFont="1" applyFill="1" applyBorder="1" applyAlignment="1">
      <alignment vertical="center"/>
    </xf>
    <xf numFmtId="10" fontId="77" fillId="0" borderId="231" xfId="0" applyNumberFormat="1" applyFont="1" applyFill="1" applyBorder="1" applyAlignment="1">
      <alignment horizontal="right" vertical="center" shrinkToFit="1"/>
    </xf>
    <xf numFmtId="38" fontId="77" fillId="0" borderId="231" xfId="0" applyNumberFormat="1" applyFont="1" applyFill="1" applyBorder="1" applyAlignment="1">
      <alignment horizontal="right" vertical="center"/>
    </xf>
    <xf numFmtId="38" fontId="90" fillId="24" borderId="231" xfId="0" applyNumberFormat="1" applyFont="1" applyFill="1" applyBorder="1" applyAlignment="1">
      <alignment horizontal="right" vertical="center" shrinkToFit="1"/>
    </xf>
    <xf numFmtId="38" fontId="90" fillId="24" borderId="232" xfId="0" applyNumberFormat="1" applyFont="1" applyFill="1" applyBorder="1" applyAlignment="1">
      <alignment horizontal="right" vertical="center" shrinkToFit="1"/>
    </xf>
    <xf numFmtId="0" fontId="77" fillId="0" borderId="286" xfId="0" applyFont="1" applyFill="1" applyBorder="1" applyAlignment="1">
      <alignment horizontal="center" vertical="center" shrinkToFit="1"/>
    </xf>
    <xf numFmtId="10" fontId="77" fillId="0" borderId="82" xfId="0" quotePrefix="1" applyNumberFormat="1" applyFont="1" applyFill="1" applyBorder="1" applyAlignment="1">
      <alignment horizontal="center" vertical="center" shrinkToFit="1"/>
    </xf>
    <xf numFmtId="38" fontId="77" fillId="0" borderId="82" xfId="0" applyNumberFormat="1" applyFont="1" applyFill="1" applyBorder="1" applyAlignment="1">
      <alignment horizontal="right" vertical="center" shrinkToFit="1"/>
    </xf>
    <xf numFmtId="38" fontId="77" fillId="0" borderId="200" xfId="0" applyNumberFormat="1" applyFont="1" applyFill="1" applyBorder="1" applyAlignment="1">
      <alignment horizontal="right" vertical="center" shrinkToFit="1"/>
    </xf>
    <xf numFmtId="0" fontId="77" fillId="0" borderId="149" xfId="0" applyFont="1" applyFill="1" applyBorder="1" applyAlignment="1">
      <alignment horizontal="center" vertical="center" shrinkToFit="1"/>
    </xf>
    <xf numFmtId="191" fontId="77" fillId="0" borderId="23" xfId="0" applyNumberFormat="1" applyFont="1" applyFill="1" applyBorder="1" applyAlignment="1">
      <alignment horizontal="right" vertical="center" shrinkToFit="1"/>
    </xf>
    <xf numFmtId="10" fontId="77" fillId="0" borderId="23" xfId="0" quotePrefix="1" applyNumberFormat="1" applyFont="1" applyFill="1" applyBorder="1" applyAlignment="1">
      <alignment horizontal="center" vertical="center" shrinkToFit="1"/>
    </xf>
    <xf numFmtId="38" fontId="77" fillId="0" borderId="23" xfId="0" applyNumberFormat="1" applyFont="1" applyFill="1" applyBorder="1" applyAlignment="1">
      <alignment horizontal="right" vertical="center"/>
    </xf>
    <xf numFmtId="0" fontId="92" fillId="28" borderId="142" xfId="0" applyFont="1" applyFill="1" applyBorder="1" applyAlignment="1">
      <alignment horizontal="left" vertical="center"/>
    </xf>
    <xf numFmtId="0" fontId="92" fillId="28" borderId="142" xfId="0" applyFont="1" applyFill="1" applyBorder="1" applyAlignment="1">
      <alignment horizontal="left" vertical="center" shrinkToFit="1"/>
    </xf>
    <xf numFmtId="10" fontId="77" fillId="11" borderId="23" xfId="0" applyNumberFormat="1" applyFont="1" applyFill="1" applyBorder="1" applyAlignment="1">
      <alignment horizontal="right" vertical="center" shrinkToFit="1"/>
    </xf>
    <xf numFmtId="0" fontId="77" fillId="0" borderId="260" xfId="0" applyFont="1" applyFill="1" applyBorder="1" applyAlignment="1">
      <alignment horizontal="center" vertical="center" shrinkToFit="1"/>
    </xf>
    <xf numFmtId="0" fontId="77" fillId="28" borderId="203" xfId="0" applyFont="1" applyFill="1" applyBorder="1" applyAlignment="1">
      <alignment horizontal="center" vertical="center" shrinkToFit="1"/>
    </xf>
    <xf numFmtId="0" fontId="81" fillId="28" borderId="85" xfId="0" applyFont="1" applyFill="1" applyBorder="1" applyAlignment="1">
      <alignment horizontal="left" vertical="center" shrinkToFit="1"/>
    </xf>
    <xf numFmtId="191" fontId="77" fillId="0" borderId="85" xfId="0" applyNumberFormat="1" applyFont="1" applyFill="1" applyBorder="1" applyAlignment="1">
      <alignment horizontal="right" vertical="center" shrinkToFit="1"/>
    </xf>
    <xf numFmtId="10" fontId="77" fillId="0" borderId="85" xfId="0" applyNumberFormat="1" applyFont="1" applyFill="1" applyBorder="1" applyAlignment="1">
      <alignment horizontal="right" vertical="center" shrinkToFit="1"/>
    </xf>
    <xf numFmtId="38" fontId="77" fillId="0" borderId="85" xfId="0" applyNumberFormat="1" applyFont="1" applyFill="1" applyBorder="1" applyAlignment="1">
      <alignment horizontal="right" vertical="center"/>
    </xf>
    <xf numFmtId="38" fontId="77" fillId="0" borderId="85" xfId="0" applyNumberFormat="1" applyFont="1" applyFill="1" applyBorder="1" applyAlignment="1">
      <alignment horizontal="right" vertical="center" shrinkToFit="1"/>
    </xf>
    <xf numFmtId="38" fontId="77" fillId="0" borderId="98" xfId="0" applyNumberFormat="1" applyFont="1" applyFill="1" applyBorder="1" applyAlignment="1">
      <alignment horizontal="right" vertical="center" shrinkToFit="1"/>
    </xf>
    <xf numFmtId="0" fontId="89" fillId="0" borderId="14" xfId="0" applyFont="1" applyFill="1" applyBorder="1" applyAlignment="1">
      <alignment horizontal="left" vertical="center"/>
    </xf>
    <xf numFmtId="0" fontId="89" fillId="0" borderId="15" xfId="0" applyFont="1" applyFill="1" applyBorder="1" applyAlignment="1">
      <alignment horizontal="left" vertical="center"/>
    </xf>
    <xf numFmtId="0" fontId="89" fillId="0" borderId="15" xfId="0" applyFont="1" applyFill="1" applyBorder="1" applyAlignment="1">
      <alignment horizontal="left" vertical="center" shrinkToFit="1"/>
    </xf>
    <xf numFmtId="0" fontId="77" fillId="0" borderId="15" xfId="0" applyFont="1" applyFill="1" applyBorder="1" applyAlignment="1">
      <alignment vertical="center"/>
    </xf>
    <xf numFmtId="38" fontId="77" fillId="0" borderId="15" xfId="0" applyNumberFormat="1" applyFont="1" applyFill="1" applyBorder="1" applyAlignment="1">
      <alignment horizontal="right" vertical="center"/>
    </xf>
    <xf numFmtId="38" fontId="77" fillId="0" borderId="15" xfId="0" applyNumberFormat="1" applyFont="1" applyFill="1" applyBorder="1" applyAlignment="1">
      <alignment horizontal="right" vertical="center" shrinkToFit="1"/>
    </xf>
    <xf numFmtId="38" fontId="77" fillId="0" borderId="123" xfId="0" applyNumberFormat="1" applyFont="1" applyFill="1" applyBorder="1" applyAlignment="1">
      <alignment horizontal="right" vertical="center" shrinkToFit="1"/>
    </xf>
    <xf numFmtId="0" fontId="86" fillId="0" borderId="229" xfId="0" applyFont="1" applyFill="1" applyBorder="1" applyAlignment="1">
      <alignment horizontal="left" vertical="center" shrinkToFit="1"/>
    </xf>
    <xf numFmtId="192" fontId="86" fillId="0" borderId="231" xfId="0" applyNumberFormat="1" applyFont="1" applyFill="1" applyBorder="1" applyAlignment="1">
      <alignment vertical="center" shrinkToFit="1"/>
    </xf>
    <xf numFmtId="10" fontId="86" fillId="0" borderId="82" xfId="0" applyNumberFormat="1" applyFont="1" applyFill="1" applyBorder="1" applyAlignment="1">
      <alignment horizontal="center" vertical="center"/>
    </xf>
    <xf numFmtId="38" fontId="91" fillId="0" borderId="82" xfId="0" applyNumberFormat="1" applyFont="1" applyFill="1" applyBorder="1" applyAlignment="1">
      <alignment horizontal="right" vertical="center"/>
    </xf>
    <xf numFmtId="10" fontId="86" fillId="0" borderId="82" xfId="0" applyNumberFormat="1" applyFont="1" applyFill="1" applyBorder="1" applyAlignment="1">
      <alignment horizontal="left" vertical="center" shrinkToFit="1"/>
    </xf>
    <xf numFmtId="10" fontId="86" fillId="0" borderId="200" xfId="0" applyNumberFormat="1" applyFont="1" applyFill="1" applyBorder="1" applyAlignment="1">
      <alignment horizontal="left" vertical="center" shrinkToFit="1"/>
    </xf>
    <xf numFmtId="0" fontId="86" fillId="0" borderId="156" xfId="0" applyFont="1" applyFill="1" applyBorder="1" applyAlignment="1">
      <alignment horizontal="left" vertical="center" shrinkToFit="1"/>
    </xf>
    <xf numFmtId="192" fontId="108" fillId="0" borderId="95" xfId="0" applyNumberFormat="1" applyFont="1" applyFill="1" applyBorder="1" applyAlignment="1">
      <alignment vertical="center" shrinkToFit="1"/>
    </xf>
    <xf numFmtId="10" fontId="86" fillId="0" borderId="23" xfId="0" applyNumberFormat="1" applyFont="1" applyFill="1" applyBorder="1" applyAlignment="1">
      <alignment horizontal="center" vertical="center"/>
    </xf>
    <xf numFmtId="38" fontId="86" fillId="0" borderId="95" xfId="0" applyNumberFormat="1" applyFont="1" applyFill="1" applyBorder="1" applyAlignment="1">
      <alignment horizontal="right" vertical="center" shrinkToFit="1"/>
    </xf>
    <xf numFmtId="38" fontId="86" fillId="0" borderId="99" xfId="0" applyNumberFormat="1" applyFont="1" applyFill="1" applyBorder="1" applyAlignment="1">
      <alignment horizontal="right" vertical="center" shrinkToFit="1"/>
    </xf>
    <xf numFmtId="0" fontId="86" fillId="0" borderId="201" xfId="0" applyFont="1" applyFill="1" applyBorder="1" applyAlignment="1">
      <alignment horizontal="left" vertical="center" shrinkToFit="1"/>
    </xf>
    <xf numFmtId="38" fontId="91" fillId="0" borderId="23" xfId="0" applyNumberFormat="1" applyFont="1" applyFill="1" applyBorder="1" applyAlignment="1">
      <alignment horizontal="right" vertical="center"/>
    </xf>
    <xf numFmtId="10" fontId="86" fillId="0" borderId="23" xfId="2" applyNumberFormat="1" applyFont="1" applyFill="1" applyBorder="1" applyAlignment="1">
      <alignment horizontal="left" vertical="center" shrinkToFit="1"/>
    </xf>
    <xf numFmtId="10" fontId="86" fillId="0" borderId="31" xfId="2" applyNumberFormat="1" applyFont="1" applyFill="1" applyBorder="1" applyAlignment="1">
      <alignment horizontal="left" vertical="center" shrinkToFit="1"/>
    </xf>
    <xf numFmtId="0" fontId="86" fillId="16" borderId="120" xfId="0" applyFont="1" applyFill="1" applyBorder="1" applyAlignment="1">
      <alignment horizontal="left" vertical="center" shrinkToFit="1"/>
    </xf>
    <xf numFmtId="192" fontId="108" fillId="16" borderId="120" xfId="0" applyNumberFormat="1" applyFont="1" applyFill="1" applyBorder="1" applyAlignment="1">
      <alignment vertical="center" shrinkToFit="1"/>
    </xf>
    <xf numFmtId="10" fontId="86" fillId="16" borderId="23" xfId="0" applyNumberFormat="1" applyFont="1" applyFill="1" applyBorder="1" applyAlignment="1">
      <alignment horizontal="center" vertical="center"/>
    </xf>
    <xf numFmtId="38" fontId="86" fillId="16" borderId="23" xfId="0" applyNumberFormat="1" applyFont="1" applyFill="1" applyBorder="1" applyAlignment="1">
      <alignment horizontal="right" vertical="center"/>
    </xf>
    <xf numFmtId="10" fontId="86" fillId="16" borderId="95" xfId="0" applyNumberFormat="1" applyFont="1" applyFill="1" applyBorder="1" applyAlignment="1">
      <alignment horizontal="left" vertical="center" shrinkToFit="1"/>
    </xf>
    <xf numFmtId="10" fontId="86" fillId="16" borderId="99" xfId="0" applyNumberFormat="1" applyFont="1" applyFill="1" applyBorder="1" applyAlignment="1">
      <alignment horizontal="left" vertical="center" shrinkToFit="1"/>
    </xf>
    <xf numFmtId="0" fontId="86" fillId="16" borderId="121" xfId="0" applyFont="1" applyFill="1" applyBorder="1" applyAlignment="1">
      <alignment horizontal="left" vertical="center" shrinkToFit="1"/>
    </xf>
    <xf numFmtId="192" fontId="108" fillId="16" borderId="121" xfId="0" applyNumberFormat="1" applyFont="1" applyFill="1" applyBorder="1" applyAlignment="1">
      <alignment vertical="center" shrinkToFit="1"/>
    </xf>
    <xf numFmtId="0" fontId="77" fillId="16" borderId="95" xfId="0" applyFont="1" applyFill="1" applyBorder="1" applyAlignment="1">
      <alignment horizontal="left" vertical="center" shrinkToFit="1"/>
    </xf>
    <xf numFmtId="191" fontId="77" fillId="16" borderId="95" xfId="0" applyNumberFormat="1" applyFont="1" applyFill="1" applyBorder="1" applyAlignment="1">
      <alignment vertical="center" shrinkToFit="1"/>
    </xf>
    <xf numFmtId="10" fontId="77" fillId="16" borderId="23" xfId="0" applyNumberFormat="1" applyFont="1" applyFill="1" applyBorder="1" applyAlignment="1">
      <alignment horizontal="right" vertical="center" shrinkToFit="1"/>
    </xf>
    <xf numFmtId="38" fontId="90" fillId="16" borderId="23" xfId="0" applyNumberFormat="1" applyFont="1" applyFill="1" applyBorder="1" applyAlignment="1">
      <alignment horizontal="right" vertical="center"/>
    </xf>
    <xf numFmtId="191" fontId="77" fillId="0" borderId="23" xfId="0" applyNumberFormat="1" applyFont="1" applyFill="1" applyBorder="1" applyAlignment="1">
      <alignment vertical="center" shrinkToFit="1"/>
    </xf>
    <xf numFmtId="10" fontId="81" fillId="0" borderId="23" xfId="0" applyNumberFormat="1" applyFont="1" applyFill="1" applyBorder="1" applyAlignment="1">
      <alignment horizontal="right" vertical="center" shrinkToFit="1"/>
    </xf>
    <xf numFmtId="38" fontId="77" fillId="0" borderId="91" xfId="0" applyNumberFormat="1" applyFont="1" applyFill="1" applyBorder="1" applyAlignment="1">
      <alignment horizontal="right" vertical="center" shrinkToFit="1"/>
    </xf>
    <xf numFmtId="9" fontId="77" fillId="0" borderId="23" xfId="0" applyNumberFormat="1" applyFont="1" applyFill="1" applyBorder="1" applyAlignment="1">
      <alignment horizontal="right" vertical="center" shrinkToFit="1"/>
    </xf>
    <xf numFmtId="0" fontId="81" fillId="28" borderId="121" xfId="0" applyFont="1" applyFill="1" applyBorder="1" applyAlignment="1">
      <alignment vertical="center" shrinkToFit="1"/>
    </xf>
    <xf numFmtId="0" fontId="81" fillId="30" borderId="23" xfId="0" applyFont="1" applyFill="1" applyBorder="1" applyAlignment="1">
      <alignment horizontal="left" vertical="center" shrinkToFit="1"/>
    </xf>
    <xf numFmtId="192" fontId="77" fillId="0" borderId="23" xfId="0" applyNumberFormat="1" applyFont="1" applyFill="1" applyBorder="1" applyAlignment="1">
      <alignment vertical="center" shrinkToFit="1"/>
    </xf>
    <xf numFmtId="38" fontId="86" fillId="30" borderId="23" xfId="0" applyNumberFormat="1" applyFont="1" applyFill="1" applyBorder="1" applyAlignment="1">
      <alignment horizontal="right" vertical="center"/>
    </xf>
    <xf numFmtId="0" fontId="81" fillId="28" borderId="95" xfId="0" applyFont="1" applyFill="1" applyBorder="1" applyAlignment="1">
      <alignment vertical="center" shrinkToFit="1"/>
    </xf>
    <xf numFmtId="0" fontId="109" fillId="30" borderId="23" xfId="0" applyFont="1" applyFill="1" applyBorder="1" applyAlignment="1">
      <alignment horizontal="left" vertical="center" shrinkToFit="1"/>
    </xf>
    <xf numFmtId="0" fontId="77" fillId="28" borderId="201" xfId="0" applyFont="1" applyFill="1" applyBorder="1" applyAlignment="1">
      <alignment horizontal="center" vertical="center" shrinkToFit="1"/>
    </xf>
    <xf numFmtId="0" fontId="81" fillId="28" borderId="120" xfId="0" applyFont="1" applyFill="1" applyBorder="1" applyAlignment="1">
      <alignment horizontal="left" vertical="center" shrinkToFit="1"/>
    </xf>
    <xf numFmtId="191" fontId="77" fillId="0" borderId="120" xfId="0" applyNumberFormat="1" applyFont="1" applyFill="1" applyBorder="1" applyAlignment="1">
      <alignment vertical="center" shrinkToFit="1"/>
    </xf>
    <xf numFmtId="10" fontId="77" fillId="0" borderId="120" xfId="0" applyNumberFormat="1" applyFont="1" applyFill="1" applyBorder="1" applyAlignment="1">
      <alignment horizontal="right" vertical="center" shrinkToFit="1"/>
    </xf>
    <xf numFmtId="0" fontId="77" fillId="0" borderId="287" xfId="0" applyFont="1" applyFill="1" applyBorder="1" applyAlignment="1">
      <alignment horizontal="center" vertical="center" shrinkToFit="1"/>
    </xf>
    <xf numFmtId="0" fontId="77" fillId="28" borderId="288" xfId="0" applyFont="1" applyFill="1" applyBorder="1" applyAlignment="1">
      <alignment horizontal="center" vertical="center" shrinkToFit="1"/>
    </xf>
    <xf numFmtId="0" fontId="77" fillId="28" borderId="289" xfId="0" applyFont="1" applyFill="1" applyBorder="1" applyAlignment="1">
      <alignment horizontal="left" vertical="center" shrinkToFit="1"/>
    </xf>
    <xf numFmtId="191" fontId="77" fillId="0" borderId="289" xfId="0" applyNumberFormat="1" applyFont="1" applyFill="1" applyBorder="1" applyAlignment="1">
      <alignment vertical="center" shrinkToFit="1"/>
    </xf>
    <xf numFmtId="38" fontId="77" fillId="0" borderId="289" xfId="0" applyNumberFormat="1" applyFont="1" applyFill="1" applyBorder="1" applyAlignment="1">
      <alignment horizontal="right" vertical="center"/>
    </xf>
    <xf numFmtId="38" fontId="77" fillId="0" borderId="289" xfId="0" applyNumberFormat="1" applyFont="1" applyFill="1" applyBorder="1" applyAlignment="1">
      <alignment horizontal="right" vertical="center" shrinkToFit="1"/>
    </xf>
    <xf numFmtId="38" fontId="77" fillId="0" borderId="33" xfId="0" applyNumberFormat="1" applyFont="1" applyFill="1" applyBorder="1" applyAlignment="1">
      <alignment horizontal="right" vertical="center" shrinkToFit="1"/>
    </xf>
    <xf numFmtId="0" fontId="77" fillId="0" borderId="240" xfId="0" applyFont="1" applyFill="1" applyBorder="1" applyAlignment="1">
      <alignment horizontal="right" vertical="center"/>
    </xf>
    <xf numFmtId="0" fontId="77" fillId="0" borderId="241" xfId="0" applyFont="1" applyFill="1" applyBorder="1" applyAlignment="1">
      <alignment horizontal="right" vertical="center"/>
    </xf>
    <xf numFmtId="0" fontId="77" fillId="0" borderId="241" xfId="0" applyFont="1" applyFill="1" applyBorder="1" applyAlignment="1">
      <alignment horizontal="left" vertical="center"/>
    </xf>
    <xf numFmtId="0" fontId="77" fillId="0" borderId="242" xfId="0" applyFont="1" applyFill="1" applyBorder="1" applyAlignment="1">
      <alignment horizontal="left" vertical="center"/>
    </xf>
    <xf numFmtId="0" fontId="77" fillId="0" borderId="242" xfId="0" applyFont="1" applyFill="1" applyBorder="1" applyAlignment="1">
      <alignment horizontal="right" vertical="center"/>
    </xf>
    <xf numFmtId="38" fontId="77" fillId="0" borderId="242" xfId="0" applyNumberFormat="1" applyFont="1" applyFill="1" applyBorder="1" applyAlignment="1">
      <alignment horizontal="right" vertical="center" shrinkToFit="1"/>
    </xf>
    <xf numFmtId="38" fontId="77" fillId="0" borderId="243" xfId="0" applyNumberFormat="1" applyFont="1" applyFill="1" applyBorder="1" applyAlignment="1">
      <alignment horizontal="right" vertical="center" shrinkToFit="1"/>
    </xf>
    <xf numFmtId="0" fontId="77" fillId="0" borderId="283" xfId="0" applyFont="1" applyFill="1" applyBorder="1" applyAlignment="1">
      <alignment horizontal="right" vertical="center"/>
    </xf>
    <xf numFmtId="0" fontId="77" fillId="0" borderId="258" xfId="0" applyFont="1" applyFill="1" applyBorder="1" applyAlignment="1">
      <alignment horizontal="right" vertical="center"/>
    </xf>
    <xf numFmtId="0" fontId="77" fillId="0" borderId="258" xfId="0" applyFont="1" applyFill="1" applyBorder="1" applyAlignment="1">
      <alignment horizontal="left" vertical="center"/>
    </xf>
    <xf numFmtId="0" fontId="77" fillId="0" borderId="89" xfId="0" applyFont="1" applyFill="1" applyBorder="1" applyAlignment="1">
      <alignment horizontal="left" vertical="center"/>
    </xf>
    <xf numFmtId="0" fontId="77" fillId="0" borderId="89" xfId="0" applyFont="1" applyFill="1" applyBorder="1" applyAlignment="1">
      <alignment horizontal="right" vertical="center"/>
    </xf>
    <xf numFmtId="38" fontId="77" fillId="0" borderId="100" xfId="0" applyNumberFormat="1" applyFont="1" applyFill="1" applyBorder="1" applyAlignment="1">
      <alignment horizontal="right" vertical="center" shrinkToFit="1"/>
    </xf>
    <xf numFmtId="0" fontId="102" fillId="0" borderId="231" xfId="0" applyFont="1" applyFill="1" applyBorder="1" applyAlignment="1">
      <alignment horizontal="center" vertical="center" wrapText="1"/>
    </xf>
    <xf numFmtId="0" fontId="77" fillId="0" borderId="232" xfId="0" applyFont="1" applyFill="1" applyBorder="1" applyAlignment="1">
      <alignment horizontal="center" vertical="center" shrinkToFit="1"/>
    </xf>
    <xf numFmtId="0" fontId="86" fillId="0" borderId="89" xfId="0" applyFont="1" applyFill="1" applyBorder="1" applyAlignment="1">
      <alignment horizontal="center" vertical="center" wrapText="1"/>
    </xf>
    <xf numFmtId="0" fontId="77" fillId="0" borderId="89" xfId="0" applyFont="1" applyFill="1" applyBorder="1" applyAlignment="1">
      <alignment horizontal="center" vertical="center"/>
    </xf>
    <xf numFmtId="0" fontId="77" fillId="0" borderId="89" xfId="0" applyFont="1" applyFill="1" applyBorder="1" applyAlignment="1">
      <alignment horizontal="center" vertical="center" shrinkToFit="1"/>
    </xf>
    <xf numFmtId="0" fontId="77" fillId="0" borderId="100" xfId="0" applyFont="1" applyFill="1" applyBorder="1" applyAlignment="1">
      <alignment horizontal="center" vertical="center" shrinkToFit="1"/>
    </xf>
    <xf numFmtId="0" fontId="77" fillId="0" borderId="177" xfId="0" applyFont="1" applyFill="1" applyBorder="1" applyAlignment="1">
      <alignment horizontal="right" vertical="center"/>
    </xf>
    <xf numFmtId="0" fontId="77" fillId="0" borderId="178" xfId="0" applyFont="1" applyFill="1" applyBorder="1" applyAlignment="1">
      <alignment horizontal="right" vertical="center"/>
    </xf>
    <xf numFmtId="0" fontId="77" fillId="0" borderId="233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center" vertical="center"/>
    </xf>
    <xf numFmtId="38" fontId="77" fillId="0" borderId="82" xfId="0" applyNumberFormat="1" applyFont="1" applyFill="1" applyBorder="1" applyAlignment="1">
      <alignment horizontal="right" vertical="center"/>
    </xf>
    <xf numFmtId="38" fontId="77" fillId="0" borderId="200" xfId="0" applyNumberFormat="1" applyFont="1" applyFill="1" applyBorder="1" applyAlignment="1">
      <alignment horizontal="right" vertical="center"/>
    </xf>
    <xf numFmtId="0" fontId="110" fillId="0" borderId="140" xfId="0" applyFont="1" applyFill="1" applyBorder="1" applyAlignment="1">
      <alignment horizontal="left" vertical="center"/>
    </xf>
    <xf numFmtId="0" fontId="77" fillId="0" borderId="23" xfId="0" applyFont="1" applyFill="1" applyBorder="1" applyAlignment="1">
      <alignment horizontal="left" vertical="center"/>
    </xf>
    <xf numFmtId="38" fontId="77" fillId="24" borderId="23" xfId="0" applyNumberFormat="1" applyFont="1" applyFill="1" applyBorder="1" applyAlignment="1">
      <alignment horizontal="right" vertical="center"/>
    </xf>
    <xf numFmtId="0" fontId="92" fillId="0" borderId="285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center" vertical="center"/>
    </xf>
    <xf numFmtId="0" fontId="77" fillId="0" borderId="231" xfId="0" applyFont="1" applyFill="1" applyBorder="1" applyAlignment="1">
      <alignment horizontal="right" vertical="center"/>
    </xf>
    <xf numFmtId="0" fontId="89" fillId="0" borderId="89" xfId="0" applyFont="1" applyFill="1" applyBorder="1" applyAlignment="1">
      <alignment horizontal="left" vertical="center"/>
    </xf>
    <xf numFmtId="0" fontId="77" fillId="0" borderId="82" xfId="0" applyFont="1" applyFill="1" applyBorder="1" applyAlignment="1">
      <alignment horizontal="center" vertical="center" shrinkToFit="1"/>
    </xf>
    <xf numFmtId="0" fontId="90" fillId="24" borderId="82" xfId="0" applyFont="1" applyFill="1" applyBorder="1" applyAlignment="1">
      <alignment horizontal="left" vertical="center" shrinkToFit="1"/>
    </xf>
    <xf numFmtId="0" fontId="77" fillId="0" borderId="82" xfId="0" applyFont="1" applyFill="1" applyBorder="1" applyAlignment="1">
      <alignment vertical="center" shrinkToFit="1"/>
    </xf>
    <xf numFmtId="10" fontId="77" fillId="0" borderId="231" xfId="0" quotePrefix="1" applyNumberFormat="1" applyFont="1" applyFill="1" applyBorder="1" applyAlignment="1">
      <alignment horizontal="right" vertical="center" shrinkToFit="1"/>
    </xf>
    <xf numFmtId="38" fontId="90" fillId="24" borderId="82" xfId="0" applyNumberFormat="1" applyFont="1" applyFill="1" applyBorder="1" applyAlignment="1">
      <alignment horizontal="right" vertical="center" shrinkToFit="1"/>
    </xf>
    <xf numFmtId="38" fontId="90" fillId="24" borderId="200" xfId="0" applyNumberFormat="1" applyFont="1" applyFill="1" applyBorder="1" applyAlignment="1">
      <alignment horizontal="right" vertical="center" shrinkToFit="1"/>
    </xf>
    <xf numFmtId="0" fontId="77" fillId="0" borderId="23" xfId="0" applyFont="1" applyFill="1" applyBorder="1" applyAlignment="1">
      <alignment horizontal="right" vertical="center"/>
    </xf>
    <xf numFmtId="10" fontId="90" fillId="24" borderId="23" xfId="0" quotePrefix="1" applyNumberFormat="1" applyFont="1" applyFill="1" applyBorder="1" applyAlignment="1">
      <alignment horizontal="right" vertical="center" shrinkToFit="1"/>
    </xf>
    <xf numFmtId="0" fontId="77" fillId="0" borderId="23" xfId="0" applyNumberFormat="1" applyFont="1" applyFill="1" applyBorder="1" applyAlignment="1">
      <alignment vertical="center" shrinkToFit="1"/>
    </xf>
    <xf numFmtId="0" fontId="77" fillId="0" borderId="23" xfId="0" applyFont="1" applyFill="1" applyBorder="1" applyAlignment="1">
      <alignment horizontal="right" vertical="center" shrinkToFit="1"/>
    </xf>
    <xf numFmtId="0" fontId="90" fillId="24" borderId="23" xfId="0" quotePrefix="1" applyFont="1" applyFill="1" applyBorder="1" applyAlignment="1">
      <alignment vertical="center"/>
    </xf>
    <xf numFmtId="0" fontId="86" fillId="0" borderId="23" xfId="0" applyFont="1" applyFill="1" applyBorder="1" applyAlignment="1">
      <alignment horizontal="left" vertical="center"/>
    </xf>
    <xf numFmtId="0" fontId="77" fillId="0" borderId="23" xfId="0" applyFont="1" applyFill="1" applyBorder="1" applyAlignment="1">
      <alignment vertical="center" shrinkToFit="1"/>
    </xf>
    <xf numFmtId="0" fontId="77" fillId="0" borderId="23" xfId="0" applyFont="1" applyFill="1" applyBorder="1" applyAlignment="1">
      <alignment horizontal="left" vertical="center" shrinkToFit="1"/>
    </xf>
    <xf numFmtId="0" fontId="77" fillId="0" borderId="120" xfId="0" applyFont="1" applyFill="1" applyBorder="1" applyAlignment="1">
      <alignment horizontal="left" vertical="center"/>
    </xf>
    <xf numFmtId="0" fontId="77" fillId="0" borderId="85" xfId="0" applyFont="1" applyFill="1" applyBorder="1" applyAlignment="1">
      <alignment horizontal="left" vertical="center" shrinkToFit="1"/>
    </xf>
    <xf numFmtId="9" fontId="77" fillId="0" borderId="85" xfId="0" applyNumberFormat="1" applyFont="1" applyFill="1" applyBorder="1" applyAlignment="1">
      <alignment horizontal="right" vertical="center" shrinkToFit="1"/>
    </xf>
    <xf numFmtId="0" fontId="77" fillId="0" borderId="229" xfId="0" applyFont="1" applyFill="1" applyBorder="1" applyAlignment="1">
      <alignment horizontal="right" vertical="center"/>
    </xf>
    <xf numFmtId="0" fontId="77" fillId="0" borderId="231" xfId="0" applyFont="1" applyFill="1" applyBorder="1" applyAlignment="1">
      <alignment horizontal="right" vertical="center" shrinkToFit="1"/>
    </xf>
    <xf numFmtId="0" fontId="77" fillId="0" borderId="82" xfId="0" applyFont="1" applyFill="1" applyBorder="1" applyAlignment="1">
      <alignment horizontal="right" vertical="center" shrinkToFit="1"/>
    </xf>
    <xf numFmtId="0" fontId="89" fillId="0" borderId="89" xfId="0" applyFont="1" applyFill="1" applyBorder="1" applyAlignment="1">
      <alignment horizontal="left" vertical="center" shrinkToFit="1"/>
    </xf>
    <xf numFmtId="0" fontId="77" fillId="0" borderId="85" xfId="0" applyFont="1" applyFill="1" applyBorder="1" applyAlignment="1">
      <alignment horizontal="right" vertical="center" shrinkToFit="1"/>
    </xf>
    <xf numFmtId="0" fontId="77" fillId="0" borderId="95" xfId="0" applyFont="1" applyFill="1" applyBorder="1" applyAlignment="1">
      <alignment horizontal="center" vertical="center" shrinkToFit="1"/>
    </xf>
    <xf numFmtId="0" fontId="77" fillId="0" borderId="95" xfId="0" quotePrefix="1" applyFont="1" applyFill="1" applyBorder="1" applyAlignment="1">
      <alignment horizontal="left" vertical="center" shrinkToFit="1"/>
    </xf>
    <xf numFmtId="10" fontId="77" fillId="0" borderId="82" xfId="0" applyNumberFormat="1" applyFont="1" applyFill="1" applyBorder="1" applyAlignment="1">
      <alignment horizontal="right" vertical="center" shrinkToFit="1"/>
    </xf>
    <xf numFmtId="0" fontId="77" fillId="0" borderId="23" xfId="0" applyFont="1" applyFill="1" applyBorder="1" applyAlignment="1">
      <alignment vertical="center"/>
    </xf>
    <xf numFmtId="0" fontId="77" fillId="0" borderId="23" xfId="0" quotePrefix="1" applyFont="1" applyFill="1" applyBorder="1" applyAlignment="1">
      <alignment vertical="center"/>
    </xf>
    <xf numFmtId="0" fontId="77" fillId="0" borderId="82" xfId="0" applyFont="1" applyFill="1" applyBorder="1" applyAlignment="1">
      <alignment horizontal="right" vertical="center"/>
    </xf>
    <xf numFmtId="0" fontId="77" fillId="0" borderId="142" xfId="0" applyFont="1" applyFill="1" applyBorder="1" applyAlignment="1">
      <alignment horizontal="left" vertical="center"/>
    </xf>
    <xf numFmtId="0" fontId="77" fillId="0" borderId="294" xfId="0" applyFont="1" applyFill="1" applyBorder="1" applyAlignment="1">
      <alignment horizontal="right" vertical="center"/>
    </xf>
    <xf numFmtId="0" fontId="77" fillId="0" borderId="295" xfId="0" applyFont="1" applyFill="1" applyBorder="1" applyAlignment="1">
      <alignment horizontal="right" vertical="center"/>
    </xf>
    <xf numFmtId="0" fontId="77" fillId="0" borderId="295" xfId="0" applyFont="1" applyFill="1" applyBorder="1" applyAlignment="1">
      <alignment horizontal="left" vertical="center"/>
    </xf>
    <xf numFmtId="0" fontId="77" fillId="0" borderId="289" xfId="0" applyFont="1" applyFill="1" applyBorder="1" applyAlignment="1">
      <alignment horizontal="left" vertical="center"/>
    </xf>
    <xf numFmtId="0" fontId="77" fillId="0" borderId="289" xfId="0" applyFont="1" applyFill="1" applyBorder="1" applyAlignment="1">
      <alignment horizontal="right" vertical="center"/>
    </xf>
    <xf numFmtId="0" fontId="77" fillId="0" borderId="121" xfId="0" applyFont="1" applyFill="1" applyBorder="1" applyAlignment="1">
      <alignment horizontal="right" vertical="center"/>
    </xf>
    <xf numFmtId="38" fontId="77" fillId="0" borderId="121" xfId="0" applyNumberFormat="1" applyFont="1" applyFill="1" applyBorder="1" applyAlignment="1">
      <alignment horizontal="right" vertical="center"/>
    </xf>
    <xf numFmtId="38" fontId="77" fillId="0" borderId="121" xfId="0" applyNumberFormat="1" applyFont="1" applyFill="1" applyBorder="1" applyAlignment="1">
      <alignment horizontal="right" vertical="center" shrinkToFit="1"/>
    </xf>
    <xf numFmtId="38" fontId="77" fillId="0" borderId="204" xfId="0" applyNumberFormat="1" applyFont="1" applyFill="1" applyBorder="1" applyAlignment="1">
      <alignment horizontal="right" vertical="center" shrinkToFit="1"/>
    </xf>
    <xf numFmtId="176" fontId="86" fillId="0" borderId="23" xfId="0" applyNumberFormat="1" applyFont="1" applyFill="1" applyBorder="1" applyAlignment="1">
      <alignment vertical="center"/>
    </xf>
    <xf numFmtId="0" fontId="86" fillId="0" borderId="115" xfId="0" applyFont="1" applyFill="1" applyBorder="1" applyAlignment="1">
      <alignment vertical="center"/>
    </xf>
    <xf numFmtId="0" fontId="86" fillId="0" borderId="23" xfId="0" applyFont="1" applyFill="1" applyBorder="1" applyAlignment="1">
      <alignment vertical="center"/>
    </xf>
    <xf numFmtId="38" fontId="86" fillId="0" borderId="23" xfId="0" applyNumberFormat="1" applyFont="1" applyFill="1" applyBorder="1" applyAlignment="1">
      <alignment vertical="center"/>
    </xf>
    <xf numFmtId="38" fontId="86" fillId="0" borderId="23" xfId="0" applyNumberFormat="1" applyFont="1" applyFill="1" applyBorder="1" applyAlignment="1">
      <alignment vertical="center" shrinkToFit="1"/>
    </xf>
    <xf numFmtId="38" fontId="86" fillId="0" borderId="31" xfId="0" applyNumberFormat="1" applyFont="1" applyFill="1" applyBorder="1" applyAlignment="1">
      <alignment vertical="center" shrinkToFit="1"/>
    </xf>
    <xf numFmtId="0" fontId="86" fillId="0" borderId="283" xfId="0" applyFont="1" applyFill="1" applyBorder="1" applyAlignment="1">
      <alignment vertical="center"/>
    </xf>
    <xf numFmtId="0" fontId="86" fillId="0" borderId="258" xfId="0" applyFont="1" applyFill="1" applyBorder="1" applyAlignment="1">
      <alignment vertical="center"/>
    </xf>
    <xf numFmtId="0" fontId="86" fillId="0" borderId="89" xfId="0" applyFont="1" applyFill="1" applyBorder="1" applyAlignment="1">
      <alignment vertical="center"/>
    </xf>
    <xf numFmtId="176" fontId="86" fillId="0" borderId="89" xfId="0" applyNumberFormat="1" applyFont="1" applyFill="1" applyBorder="1" applyAlignment="1">
      <alignment vertical="center"/>
    </xf>
    <xf numFmtId="176" fontId="86" fillId="0" borderId="89" xfId="0" applyNumberFormat="1" applyFont="1" applyFill="1" applyBorder="1" applyAlignment="1">
      <alignment vertical="center" shrinkToFit="1"/>
    </xf>
    <xf numFmtId="176" fontId="86" fillId="0" borderId="100" xfId="0" applyNumberFormat="1" applyFont="1" applyFill="1" applyBorder="1" applyAlignment="1">
      <alignment vertical="center" shrinkToFit="1"/>
    </xf>
    <xf numFmtId="0" fontId="86" fillId="0" borderId="225" xfId="0" applyFont="1" applyFill="1" applyBorder="1" applyAlignment="1">
      <alignment vertical="center"/>
    </xf>
    <xf numFmtId="176" fontId="86" fillId="0" borderId="225" xfId="0" applyNumberFormat="1" applyFont="1" applyFill="1" applyBorder="1" applyAlignment="1">
      <alignment vertical="center"/>
    </xf>
    <xf numFmtId="176" fontId="86" fillId="0" borderId="225" xfId="0" applyNumberFormat="1" applyFont="1" applyFill="1" applyBorder="1" applyAlignment="1">
      <alignment vertical="center" shrinkToFit="1"/>
    </xf>
    <xf numFmtId="0" fontId="86" fillId="0" borderId="125" xfId="0" applyFont="1" applyBorder="1" applyAlignment="1">
      <alignment vertical="center"/>
    </xf>
    <xf numFmtId="0" fontId="86" fillId="0" borderId="297" xfId="0" applyFont="1" applyBorder="1" applyAlignment="1">
      <alignment vertical="center"/>
    </xf>
    <xf numFmtId="0" fontId="88" fillId="0" borderId="51" xfId="0" applyFont="1" applyBorder="1" applyAlignment="1">
      <alignment vertical="center"/>
    </xf>
    <xf numFmtId="0" fontId="86" fillId="0" borderId="124" xfId="0" applyFont="1" applyBorder="1" applyAlignment="1">
      <alignment vertical="center"/>
    </xf>
    <xf numFmtId="0" fontId="86" fillId="0" borderId="111" xfId="0" applyFont="1" applyBorder="1" applyAlignment="1">
      <alignment horizontal="center" vertical="center" shrinkToFit="1"/>
    </xf>
    <xf numFmtId="193" fontId="86" fillId="0" borderId="111" xfId="0" applyNumberFormat="1" applyFont="1" applyFill="1" applyBorder="1" applyAlignment="1">
      <alignment horizontal="center" vertical="center"/>
    </xf>
    <xf numFmtId="193" fontId="86" fillId="0" borderId="59" xfId="0" applyNumberFormat="1" applyFont="1" applyFill="1" applyBorder="1" applyAlignment="1">
      <alignment horizontal="center" vertical="center"/>
    </xf>
    <xf numFmtId="193" fontId="86" fillId="0" borderId="0" xfId="0" applyNumberFormat="1" applyFont="1" applyFill="1" applyBorder="1" applyAlignment="1">
      <alignment horizontal="center" vertical="center"/>
    </xf>
    <xf numFmtId="0" fontId="96" fillId="0" borderId="52" xfId="0" applyFont="1" applyBorder="1" applyAlignment="1">
      <alignment vertical="center" shrinkToFit="1"/>
    </xf>
    <xf numFmtId="0" fontId="86" fillId="0" borderId="140" xfId="0" applyFont="1" applyBorder="1" applyAlignment="1">
      <alignment vertical="center"/>
    </xf>
    <xf numFmtId="0" fontId="86" fillId="0" borderId="23" xfId="0" applyFont="1" applyBorder="1" applyAlignment="1">
      <alignment horizontal="center" vertical="center"/>
    </xf>
    <xf numFmtId="192" fontId="86" fillId="16" borderId="23" xfId="0" applyNumberFormat="1" applyFont="1" applyFill="1" applyBorder="1" applyAlignment="1" applyProtection="1">
      <alignment horizontal="center" vertical="center"/>
    </xf>
    <xf numFmtId="192" fontId="86" fillId="16" borderId="60" xfId="0" applyNumberFormat="1" applyFont="1" applyFill="1" applyBorder="1" applyAlignment="1" applyProtection="1">
      <alignment horizontal="center" vertical="center"/>
    </xf>
    <xf numFmtId="192" fontId="86" fillId="0" borderId="0" xfId="0" applyNumberFormat="1" applyFont="1" applyFill="1" applyBorder="1" applyAlignment="1" applyProtection="1">
      <alignment horizontal="center" vertical="center"/>
    </xf>
    <xf numFmtId="0" fontId="86" fillId="0" borderId="139" xfId="0" applyFont="1" applyBorder="1" applyAlignment="1">
      <alignment vertical="center"/>
    </xf>
    <xf numFmtId="0" fontId="86" fillId="0" borderId="201" xfId="0" applyFont="1" applyBorder="1" applyAlignment="1">
      <alignment vertical="center"/>
    </xf>
    <xf numFmtId="192" fontId="86" fillId="0" borderId="23" xfId="2" applyNumberFormat="1" applyFont="1" applyBorder="1" applyAlignment="1" applyProtection="1">
      <alignment horizontal="center" vertical="center"/>
    </xf>
    <xf numFmtId="192" fontId="86" fillId="0" borderId="60" xfId="2" applyNumberFormat="1" applyFont="1" applyBorder="1" applyAlignment="1" applyProtection="1">
      <alignment horizontal="center" vertical="center"/>
    </xf>
    <xf numFmtId="192" fontId="86" fillId="0" borderId="0" xfId="2" applyNumberFormat="1" applyFont="1" applyFill="1" applyBorder="1" applyAlignment="1" applyProtection="1">
      <alignment horizontal="center" vertical="center"/>
    </xf>
    <xf numFmtId="0" fontId="86" fillId="0" borderId="141" xfId="0" applyFont="1" applyBorder="1" applyAlignment="1">
      <alignment vertical="center"/>
    </xf>
    <xf numFmtId="0" fontId="86" fillId="0" borderId="156" xfId="0" applyFont="1" applyBorder="1" applyAlignment="1">
      <alignment vertical="center"/>
    </xf>
    <xf numFmtId="2" fontId="86" fillId="0" borderId="23" xfId="0" applyNumberFormat="1" applyFont="1" applyBorder="1" applyAlignment="1" applyProtection="1">
      <alignment horizontal="center" vertical="center"/>
    </xf>
    <xf numFmtId="2" fontId="86" fillId="0" borderId="60" xfId="0" applyNumberFormat="1" applyFont="1" applyBorder="1" applyAlignment="1" applyProtection="1">
      <alignment horizontal="center" vertical="center"/>
    </xf>
    <xf numFmtId="2" fontId="86" fillId="0" borderId="0" xfId="0" applyNumberFormat="1" applyFont="1" applyFill="1" applyBorder="1" applyAlignment="1" applyProtection="1">
      <alignment horizontal="center" vertical="center"/>
    </xf>
    <xf numFmtId="2" fontId="86" fillId="29" borderId="23" xfId="0" applyNumberFormat="1" applyFont="1" applyFill="1" applyBorder="1" applyAlignment="1" applyProtection="1">
      <alignment horizontal="center" vertical="center"/>
    </xf>
    <xf numFmtId="2" fontId="86" fillId="29" borderId="60" xfId="0" applyNumberFormat="1" applyFont="1" applyFill="1" applyBorder="1" applyAlignment="1" applyProtection="1">
      <alignment horizontal="center" vertical="center"/>
    </xf>
    <xf numFmtId="2" fontId="86" fillId="29" borderId="135" xfId="0" applyNumberFormat="1" applyFont="1" applyFill="1" applyBorder="1" applyAlignment="1" applyProtection="1">
      <alignment horizontal="center" vertical="center"/>
    </xf>
    <xf numFmtId="2" fontId="86" fillId="29" borderId="315" xfId="0" applyNumberFormat="1" applyFont="1" applyFill="1" applyBorder="1" applyAlignment="1" applyProtection="1">
      <alignment horizontal="center" vertical="center"/>
    </xf>
    <xf numFmtId="0" fontId="86" fillId="29" borderId="0" xfId="0" applyFont="1" applyFill="1" applyBorder="1" applyAlignment="1">
      <alignment horizontal="left" vertical="center"/>
    </xf>
    <xf numFmtId="0" fontId="80" fillId="29" borderId="0" xfId="0" applyFont="1" applyFill="1" applyBorder="1" applyAlignment="1">
      <alignment horizontal="left" vertical="center"/>
    </xf>
    <xf numFmtId="2" fontId="86" fillId="29" borderId="0" xfId="0" applyNumberFormat="1" applyFont="1" applyFill="1" applyBorder="1" applyAlignment="1" applyProtection="1">
      <alignment horizontal="center" vertical="center"/>
    </xf>
    <xf numFmtId="0" fontId="86" fillId="0" borderId="125" xfId="0" applyFont="1" applyFill="1" applyBorder="1" applyAlignment="1">
      <alignment vertical="center"/>
    </xf>
    <xf numFmtId="0" fontId="86" fillId="0" borderId="297" xfId="0" applyFont="1" applyFill="1" applyBorder="1" applyAlignment="1">
      <alignment vertical="center"/>
    </xf>
    <xf numFmtId="0" fontId="88" fillId="0" borderId="51" xfId="0" applyFont="1" applyFill="1" applyBorder="1" applyAlignment="1">
      <alignment vertical="center"/>
    </xf>
    <xf numFmtId="0" fontId="86" fillId="0" borderId="124" xfId="0" applyFont="1" applyFill="1" applyBorder="1" applyAlignment="1">
      <alignment vertical="center"/>
    </xf>
    <xf numFmtId="0" fontId="86" fillId="0" borderId="111" xfId="0" applyFont="1" applyFill="1" applyBorder="1" applyAlignment="1">
      <alignment horizontal="center" vertical="center" shrinkToFit="1"/>
    </xf>
    <xf numFmtId="0" fontId="96" fillId="0" borderId="52" xfId="0" applyFont="1" applyFill="1" applyBorder="1" applyAlignment="1">
      <alignment vertical="center" shrinkToFit="1"/>
    </xf>
    <xf numFmtId="0" fontId="86" fillId="0" borderId="140" xfId="0" applyFont="1" applyFill="1" applyBorder="1" applyAlignment="1">
      <alignment vertical="center"/>
    </xf>
    <xf numFmtId="0" fontId="86" fillId="0" borderId="201" xfId="0" applyFont="1" applyFill="1" applyBorder="1" applyAlignment="1">
      <alignment vertical="center"/>
    </xf>
    <xf numFmtId="192" fontId="86" fillId="0" borderId="23" xfId="2" applyNumberFormat="1" applyFont="1" applyFill="1" applyBorder="1" applyAlignment="1" applyProtection="1">
      <alignment horizontal="center" vertical="center"/>
    </xf>
    <xf numFmtId="192" fontId="86" fillId="0" borderId="60" xfId="2" applyNumberFormat="1" applyFont="1" applyFill="1" applyBorder="1" applyAlignment="1" applyProtection="1">
      <alignment horizontal="center" vertical="center"/>
    </xf>
    <xf numFmtId="0" fontId="86" fillId="0" borderId="141" xfId="0" applyFont="1" applyFill="1" applyBorder="1" applyAlignment="1">
      <alignment vertical="center"/>
    </xf>
    <xf numFmtId="0" fontId="86" fillId="0" borderId="156" xfId="0" applyFont="1" applyFill="1" applyBorder="1" applyAlignment="1">
      <alignment vertical="center"/>
    </xf>
    <xf numFmtId="2" fontId="86" fillId="0" borderId="23" xfId="0" applyNumberFormat="1" applyFont="1" applyFill="1" applyBorder="1" applyAlignment="1" applyProtection="1">
      <alignment horizontal="center" vertical="center"/>
    </xf>
    <xf numFmtId="2" fontId="86" fillId="0" borderId="60" xfId="0" applyNumberFormat="1" applyFont="1" applyFill="1" applyBorder="1" applyAlignment="1" applyProtection="1">
      <alignment horizontal="center" vertical="center"/>
    </xf>
    <xf numFmtId="0" fontId="86" fillId="29" borderId="23" xfId="0" applyFont="1" applyFill="1" applyBorder="1" applyAlignment="1" applyProtection="1">
      <alignment horizontal="center" vertical="center"/>
    </xf>
    <xf numFmtId="0" fontId="86" fillId="29" borderId="60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 applyProtection="1">
      <alignment horizontal="center" vertical="center"/>
    </xf>
    <xf numFmtId="176" fontId="86" fillId="0" borderId="0" xfId="0" applyNumberFormat="1" applyFont="1" applyFill="1" applyBorder="1" applyAlignment="1">
      <alignment vertical="center"/>
    </xf>
    <xf numFmtId="176" fontId="86" fillId="0" borderId="0" xfId="0" applyNumberFormat="1" applyFont="1" applyFill="1" applyBorder="1" applyAlignment="1">
      <alignment vertical="center" shrinkToFit="1"/>
    </xf>
    <xf numFmtId="193" fontId="86" fillId="31" borderId="111" xfId="0" applyNumberFormat="1" applyFont="1" applyFill="1" applyBorder="1" applyAlignment="1">
      <alignment horizontal="center" vertical="center"/>
    </xf>
    <xf numFmtId="193" fontId="86" fillId="31" borderId="59" xfId="0" applyNumberFormat="1" applyFont="1" applyFill="1" applyBorder="1" applyAlignment="1">
      <alignment horizontal="center" vertical="center"/>
    </xf>
    <xf numFmtId="192" fontId="86" fillId="31" borderId="23" xfId="2" applyNumberFormat="1" applyFont="1" applyFill="1" applyBorder="1" applyAlignment="1" applyProtection="1">
      <alignment horizontal="center" vertical="center"/>
    </xf>
    <xf numFmtId="192" fontId="86" fillId="31" borderId="60" xfId="2" applyNumberFormat="1" applyFont="1" applyFill="1" applyBorder="1" applyAlignment="1" applyProtection="1">
      <alignment horizontal="center" vertical="center"/>
    </xf>
    <xf numFmtId="2" fontId="86" fillId="31" borderId="23" xfId="0" applyNumberFormat="1" applyFont="1" applyFill="1" applyBorder="1" applyAlignment="1" applyProtection="1">
      <alignment horizontal="center" vertical="center"/>
    </xf>
    <xf numFmtId="2" fontId="86" fillId="31" borderId="60" xfId="0" applyNumberFormat="1" applyFont="1" applyFill="1" applyBorder="1" applyAlignment="1" applyProtection="1">
      <alignment horizontal="center" vertical="center"/>
    </xf>
    <xf numFmtId="0" fontId="86" fillId="25" borderId="157" xfId="0" applyFont="1" applyFill="1" applyBorder="1" applyAlignment="1">
      <alignment vertical="center"/>
    </xf>
    <xf numFmtId="0" fontId="86" fillId="25" borderId="128" xfId="0" applyFont="1" applyFill="1" applyBorder="1" applyAlignment="1">
      <alignment vertical="center"/>
    </xf>
    <xf numFmtId="2" fontId="86" fillId="31" borderId="118" xfId="0" applyNumberFormat="1" applyFont="1" applyFill="1" applyBorder="1" applyAlignment="1" applyProtection="1">
      <alignment horizontal="center" vertical="center"/>
    </xf>
    <xf numFmtId="2" fontId="86" fillId="31" borderId="58" xfId="0" applyNumberFormat="1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horizontal="center" vertical="center" shrinkToFit="1"/>
    </xf>
    <xf numFmtId="0" fontId="86" fillId="25" borderId="127" xfId="0" applyFont="1" applyFill="1" applyBorder="1" applyAlignment="1">
      <alignment vertical="center"/>
    </xf>
    <xf numFmtId="0" fontId="86" fillId="31" borderId="118" xfId="0" applyFont="1" applyFill="1" applyBorder="1" applyAlignment="1" applyProtection="1">
      <alignment horizontal="center" vertical="center"/>
    </xf>
    <xf numFmtId="0" fontId="86" fillId="31" borderId="58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vertical="center" shrinkToFit="1"/>
    </xf>
    <xf numFmtId="193" fontId="86" fillId="0" borderId="51" xfId="0" applyNumberFormat="1" applyFont="1" applyFill="1" applyBorder="1" applyAlignment="1">
      <alignment horizontal="center" vertical="center"/>
    </xf>
    <xf numFmtId="193" fontId="86" fillId="0" borderId="299" xfId="0" applyNumberFormat="1" applyFont="1" applyFill="1" applyBorder="1" applyAlignment="1">
      <alignment horizontal="center" vertical="center"/>
    </xf>
    <xf numFmtId="0" fontId="86" fillId="31" borderId="0" xfId="0" applyFont="1" applyFill="1" applyAlignment="1">
      <alignment horizontal="center" vertical="center"/>
    </xf>
    <xf numFmtId="192" fontId="86" fillId="0" borderId="299" xfId="0" applyNumberFormat="1" applyFont="1" applyFill="1" applyBorder="1" applyAlignment="1" applyProtection="1">
      <alignment horizontal="center" vertical="center"/>
    </xf>
    <xf numFmtId="0" fontId="86" fillId="0" borderId="169" xfId="0" applyFont="1" applyFill="1" applyBorder="1" applyAlignment="1">
      <alignment vertical="center"/>
    </xf>
    <xf numFmtId="0" fontId="86" fillId="0" borderId="140" xfId="0" applyFont="1" applyFill="1" applyBorder="1" applyAlignment="1">
      <alignment horizontal="center" vertical="center"/>
    </xf>
    <xf numFmtId="192" fontId="86" fillId="31" borderId="52" xfId="2" applyNumberFormat="1" applyFont="1" applyFill="1" applyBorder="1" applyAlignment="1" applyProtection="1">
      <alignment horizontal="center" vertical="center"/>
    </xf>
    <xf numFmtId="192" fontId="86" fillId="0" borderId="299" xfId="2" applyNumberFormat="1" applyFont="1" applyFill="1" applyBorder="1" applyAlignment="1" applyProtection="1">
      <alignment horizontal="center" vertical="center"/>
    </xf>
    <xf numFmtId="0" fontId="80" fillId="0" borderId="0" xfId="0" applyFont="1" applyFill="1" applyAlignment="1">
      <alignment vertical="center"/>
    </xf>
    <xf numFmtId="2" fontId="86" fillId="0" borderId="299" xfId="0" applyNumberFormat="1" applyFont="1" applyFill="1" applyBorder="1" applyAlignment="1" applyProtection="1">
      <alignment horizontal="center" vertical="center"/>
    </xf>
    <xf numFmtId="0" fontId="86" fillId="16" borderId="127" xfId="0" applyFont="1" applyFill="1" applyBorder="1" applyAlignment="1">
      <alignment vertical="center"/>
    </xf>
    <xf numFmtId="0" fontId="86" fillId="16" borderId="128" xfId="0" applyFont="1" applyFill="1" applyBorder="1" applyAlignment="1">
      <alignment vertical="center"/>
    </xf>
    <xf numFmtId="0" fontId="86" fillId="31" borderId="195" xfId="0" applyFont="1" applyFill="1" applyBorder="1" applyAlignment="1" applyProtection="1">
      <alignment horizontal="center" vertical="center"/>
    </xf>
    <xf numFmtId="0" fontId="86" fillId="16" borderId="299" xfId="0" applyFont="1" applyFill="1" applyBorder="1" applyAlignment="1" applyProtection="1">
      <alignment horizontal="center" vertical="center"/>
    </xf>
    <xf numFmtId="0" fontId="86" fillId="16" borderId="0" xfId="0" applyFont="1" applyFill="1" applyBorder="1" applyAlignment="1" applyProtection="1">
      <alignment horizontal="center" vertical="center"/>
    </xf>
    <xf numFmtId="0" fontId="86" fillId="0" borderId="0" xfId="0" applyFont="1" applyFill="1" applyBorder="1" applyAlignment="1">
      <alignment horizontal="center" vertical="center"/>
    </xf>
    <xf numFmtId="0" fontId="80" fillId="0" borderId="0" xfId="0" applyFont="1" applyFill="1" applyBorder="1" applyAlignment="1">
      <alignment horizontal="center" vertical="center"/>
    </xf>
    <xf numFmtId="190" fontId="86" fillId="31" borderId="231" xfId="0" applyNumberFormat="1" applyFont="1" applyFill="1" applyBorder="1" applyAlignment="1">
      <alignment horizontal="center" shrinkToFit="1"/>
    </xf>
    <xf numFmtId="190" fontId="86" fillId="31" borderId="232" xfId="0" applyNumberFormat="1" applyFont="1" applyFill="1" applyBorder="1" applyAlignment="1">
      <alignment horizontal="center" shrinkToFit="1"/>
    </xf>
    <xf numFmtId="190" fontId="77" fillId="31" borderId="23" xfId="0" applyNumberFormat="1" applyFont="1" applyFill="1" applyBorder="1" applyAlignment="1">
      <alignment horizontal="center" shrinkToFit="1"/>
    </xf>
    <xf numFmtId="190" fontId="77" fillId="31" borderId="98" xfId="0" applyNumberFormat="1" applyFont="1" applyFill="1" applyBorder="1" applyAlignment="1">
      <alignment horizontal="center" shrinkToFit="1"/>
    </xf>
    <xf numFmtId="38" fontId="82" fillId="31" borderId="23" xfId="0" applyNumberFormat="1" applyFont="1" applyFill="1" applyBorder="1" applyAlignment="1">
      <alignment horizontal="center" shrinkToFit="1"/>
    </xf>
    <xf numFmtId="38" fontId="82" fillId="31" borderId="31" xfId="0" applyNumberFormat="1" applyFont="1" applyFill="1" applyBorder="1" applyAlignment="1">
      <alignment horizontal="center" shrinkToFit="1"/>
    </xf>
    <xf numFmtId="38" fontId="86" fillId="31" borderId="95" xfId="0" applyNumberFormat="1" applyFont="1" applyFill="1" applyBorder="1" applyAlignment="1">
      <alignment horizontal="center" vertical="center" shrinkToFit="1"/>
    </xf>
    <xf numFmtId="38" fontId="86" fillId="31" borderId="99" xfId="0" applyNumberFormat="1" applyFont="1" applyFill="1" applyBorder="1" applyAlignment="1">
      <alignment horizontal="center" vertical="center" shrinkToFit="1"/>
    </xf>
    <xf numFmtId="38" fontId="86" fillId="31" borderId="89" xfId="0" applyNumberFormat="1" applyFont="1" applyFill="1" applyBorder="1" applyAlignment="1">
      <alignment horizontal="center" vertical="center" shrinkToFit="1"/>
    </xf>
    <xf numFmtId="38" fontId="86" fillId="31" borderId="100" xfId="0" applyNumberFormat="1" applyFont="1" applyFill="1" applyBorder="1" applyAlignment="1">
      <alignment horizontal="center" vertical="center" shrinkToFit="1"/>
    </xf>
    <xf numFmtId="179" fontId="77" fillId="31" borderId="151" xfId="0" applyNumberFormat="1" applyFont="1" applyFill="1" applyBorder="1" applyAlignment="1">
      <alignment shrinkToFit="1"/>
    </xf>
    <xf numFmtId="179" fontId="77" fillId="31" borderId="152" xfId="0" applyNumberFormat="1" applyFont="1" applyFill="1" applyBorder="1" applyAlignment="1">
      <alignment shrinkToFit="1"/>
    </xf>
    <xf numFmtId="179" fontId="77" fillId="31" borderId="95" xfId="0" applyNumberFormat="1" applyFont="1" applyFill="1" applyBorder="1" applyAlignment="1">
      <alignment shrinkToFit="1"/>
    </xf>
    <xf numFmtId="179" fontId="77" fillId="31" borderId="99" xfId="0" applyNumberFormat="1" applyFont="1" applyFill="1" applyBorder="1" applyAlignment="1">
      <alignment shrinkToFit="1"/>
    </xf>
    <xf numFmtId="179" fontId="77" fillId="31" borderId="120" xfId="0" applyNumberFormat="1" applyFont="1" applyFill="1" applyBorder="1" applyAlignment="1">
      <alignment shrinkToFit="1"/>
    </xf>
    <xf numFmtId="179" fontId="77" fillId="31" borderId="122" xfId="0" applyNumberFormat="1" applyFont="1" applyFill="1" applyBorder="1" applyAlignment="1">
      <alignment shrinkToFit="1"/>
    </xf>
    <xf numFmtId="38" fontId="77" fillId="31" borderId="82" xfId="0" applyNumberFormat="1" applyFont="1" applyFill="1" applyBorder="1" applyAlignment="1">
      <alignment horizontal="right" vertical="center" shrinkToFit="1"/>
    </xf>
    <xf numFmtId="38" fontId="77" fillId="31" borderId="200" xfId="0" applyNumberFormat="1" applyFont="1" applyFill="1" applyBorder="1" applyAlignment="1">
      <alignment horizontal="right" vertical="center" shrinkToFit="1"/>
    </xf>
    <xf numFmtId="38" fontId="77" fillId="31" borderId="23" xfId="0" applyNumberFormat="1" applyFont="1" applyFill="1" applyBorder="1" applyAlignment="1">
      <alignment horizontal="right" vertical="center" shrinkToFit="1"/>
    </xf>
    <xf numFmtId="38" fontId="77" fillId="31" borderId="31" xfId="0" applyNumberFormat="1" applyFont="1" applyFill="1" applyBorder="1" applyAlignment="1">
      <alignment horizontal="right" vertical="center" shrinkToFit="1"/>
    </xf>
    <xf numFmtId="38" fontId="77" fillId="31" borderId="23" xfId="0" applyNumberFormat="1" applyFont="1" applyFill="1" applyBorder="1" applyAlignment="1">
      <alignment horizontal="right" shrinkToFit="1"/>
    </xf>
    <xf numFmtId="38" fontId="77" fillId="31" borderId="31" xfId="0" applyNumberFormat="1" applyFont="1" applyFill="1" applyBorder="1" applyAlignment="1">
      <alignment horizontal="right" shrinkToFit="1"/>
    </xf>
    <xf numFmtId="38" fontId="77" fillId="31" borderId="85" xfId="0" applyNumberFormat="1" applyFont="1" applyFill="1" applyBorder="1" applyAlignment="1">
      <alignment horizontal="right" shrinkToFit="1"/>
    </xf>
    <xf numFmtId="38" fontId="77" fillId="31" borderId="98" xfId="0" applyNumberFormat="1" applyFont="1" applyFill="1" applyBorder="1" applyAlignment="1">
      <alignment horizontal="right" shrinkToFit="1"/>
    </xf>
    <xf numFmtId="0" fontId="103" fillId="0" borderId="225" xfId="0" applyFont="1" applyFill="1" applyBorder="1" applyAlignment="1">
      <alignment horizontal="center" vertical="center"/>
    </xf>
    <xf numFmtId="0" fontId="82" fillId="0" borderId="225" xfId="0" applyFont="1" applyFill="1" applyBorder="1" applyAlignment="1">
      <alignment horizontal="center" vertical="center"/>
    </xf>
    <xf numFmtId="0" fontId="82" fillId="0" borderId="225" xfId="0" applyFont="1" applyFill="1" applyBorder="1" applyAlignment="1">
      <alignment horizontal="right" vertical="center" shrinkToFit="1"/>
    </xf>
    <xf numFmtId="0" fontId="82" fillId="0" borderId="258" xfId="0" applyFont="1" applyFill="1" applyBorder="1" applyAlignment="1">
      <alignment horizontal="right" vertical="center"/>
    </xf>
    <xf numFmtId="0" fontId="104" fillId="0" borderId="258" xfId="0" applyFont="1" applyFill="1" applyBorder="1" applyAlignment="1">
      <alignment horizontal="left" vertical="center"/>
    </xf>
    <xf numFmtId="0" fontId="82" fillId="0" borderId="258" xfId="0" applyFont="1" applyFill="1" applyBorder="1" applyAlignment="1">
      <alignment horizontal="center" vertical="center"/>
    </xf>
    <xf numFmtId="0" fontId="86" fillId="0" borderId="0" xfId="0" applyFont="1" applyBorder="1" applyAlignment="1">
      <alignment vertical="center" shrinkToFit="1"/>
    </xf>
    <xf numFmtId="0" fontId="3" fillId="0" borderId="140" xfId="0" applyNumberFormat="1" applyFont="1" applyBorder="1" applyAlignment="1">
      <alignment vertical="center" shrinkToFit="1"/>
    </xf>
    <xf numFmtId="0" fontId="3" fillId="0" borderId="140" xfId="0" applyNumberFormat="1" applyFont="1" applyBorder="1" applyAlignment="1">
      <alignment horizontal="center" vertical="center" shrinkToFit="1"/>
    </xf>
    <xf numFmtId="0" fontId="3" fillId="0" borderId="298" xfId="0" applyNumberFormat="1" applyFont="1" applyBorder="1" applyAlignment="1">
      <alignment vertical="center" shrinkToFit="1"/>
    </xf>
    <xf numFmtId="0" fontId="9" fillId="0" borderId="316" xfId="0" applyFont="1" applyBorder="1" applyAlignment="1" applyProtection="1">
      <alignment vertical="center"/>
      <protection locked="0"/>
    </xf>
    <xf numFmtId="0" fontId="3" fillId="0" borderId="120" xfId="0" applyNumberFormat="1" applyFont="1" applyBorder="1" applyAlignment="1">
      <alignment vertical="center"/>
    </xf>
    <xf numFmtId="187" fontId="3" fillId="0" borderId="139" xfId="0" applyNumberFormat="1" applyFont="1" applyBorder="1" applyAlignment="1">
      <alignment vertical="center"/>
    </xf>
    <xf numFmtId="187" fontId="3" fillId="0" borderId="120" xfId="0" applyNumberFormat="1" applyFont="1" applyBorder="1" applyAlignment="1">
      <alignment vertical="center"/>
    </xf>
    <xf numFmtId="177" fontId="3" fillId="0" borderId="120" xfId="0" applyNumberFormat="1" applyFont="1" applyBorder="1" applyAlignment="1">
      <alignment horizontal="center" vertical="center"/>
    </xf>
    <xf numFmtId="177" fontId="3" fillId="0" borderId="120" xfId="0" applyNumberFormat="1" applyFont="1" applyBorder="1" applyAlignment="1">
      <alignment vertical="center"/>
    </xf>
    <xf numFmtId="177" fontId="4" fillId="0" borderId="139" xfId="0" applyNumberFormat="1" applyFont="1" applyBorder="1" applyAlignment="1">
      <alignment vertical="center"/>
    </xf>
    <xf numFmtId="177" fontId="4" fillId="0" borderId="317" xfId="0" applyNumberFormat="1" applyFont="1" applyBorder="1" applyAlignment="1">
      <alignment vertical="center"/>
    </xf>
    <xf numFmtId="0" fontId="3" fillId="0" borderId="318" xfId="0" applyNumberFormat="1" applyFont="1" applyBorder="1" applyAlignment="1">
      <alignment vertical="center" shrinkToFit="1"/>
    </xf>
    <xf numFmtId="0" fontId="3" fillId="0" borderId="255" xfId="0" applyNumberFormat="1" applyFont="1" applyBorder="1" applyAlignment="1">
      <alignment vertical="center"/>
    </xf>
    <xf numFmtId="0" fontId="3" fillId="0" borderId="292" xfId="0" applyNumberFormat="1" applyFont="1" applyBorder="1" applyAlignment="1">
      <alignment vertical="center"/>
    </xf>
    <xf numFmtId="187" fontId="3" fillId="0" borderId="249" xfId="0" applyNumberFormat="1" applyFont="1" applyBorder="1" applyAlignment="1">
      <alignment vertical="center"/>
    </xf>
    <xf numFmtId="187" fontId="3" fillId="0" borderId="292" xfId="0" applyNumberFormat="1" applyFont="1" applyBorder="1" applyAlignment="1">
      <alignment vertical="center"/>
    </xf>
    <xf numFmtId="177" fontId="3" fillId="0" borderId="292" xfId="0" applyNumberFormat="1" applyFont="1" applyBorder="1" applyAlignment="1">
      <alignment horizontal="center" vertical="center"/>
    </xf>
    <xf numFmtId="177" fontId="3" fillId="0" borderId="292" xfId="0" applyNumberFormat="1" applyFont="1" applyBorder="1" applyAlignment="1">
      <alignment vertical="center"/>
    </xf>
    <xf numFmtId="177" fontId="4" fillId="0" borderId="249" xfId="0" applyNumberFormat="1" applyFont="1" applyBorder="1" applyAlignment="1">
      <alignment vertical="center"/>
    </xf>
    <xf numFmtId="177" fontId="4" fillId="0" borderId="319" xfId="0" applyNumberFormat="1" applyFont="1" applyBorder="1" applyAlignment="1">
      <alignment vertical="center"/>
    </xf>
    <xf numFmtId="0" fontId="13" fillId="0" borderId="145" xfId="0" applyFont="1" applyBorder="1" applyAlignment="1" applyProtection="1">
      <alignment vertical="center"/>
      <protection locked="0"/>
    </xf>
    <xf numFmtId="0" fontId="13" fillId="0" borderId="146" xfId="0" applyFont="1" applyBorder="1" applyAlignment="1" applyProtection="1">
      <alignment vertical="center"/>
      <protection locked="0"/>
    </xf>
    <xf numFmtId="177" fontId="3" fillId="0" borderId="23" xfId="0" applyNumberFormat="1" applyFont="1" applyBorder="1" applyAlignment="1">
      <alignment vertical="center" shrinkToFit="1"/>
    </xf>
    <xf numFmtId="177" fontId="3" fillId="0" borderId="23" xfId="0" applyNumberFormat="1" applyFont="1" applyBorder="1" applyAlignment="1">
      <alignment horizontal="right" vertical="center" shrinkToFit="1"/>
    </xf>
    <xf numFmtId="177" fontId="3" fillId="0" borderId="118" xfId="0" applyNumberFormat="1" applyFont="1" applyBorder="1" applyAlignment="1">
      <alignment vertical="center" shrinkToFit="1"/>
    </xf>
    <xf numFmtId="0" fontId="28" fillId="0" borderId="23" xfId="0" applyFont="1" applyBorder="1" applyAlignment="1">
      <alignment horizontal="right" vertical="top" shrinkToFit="1"/>
    </xf>
    <xf numFmtId="177" fontId="3" fillId="0" borderId="120" xfId="0" applyNumberFormat="1" applyFont="1" applyBorder="1" applyAlignment="1">
      <alignment vertical="center" shrinkToFit="1"/>
    </xf>
    <xf numFmtId="177" fontId="3" fillId="0" borderId="292" xfId="0" applyNumberFormat="1" applyFont="1" applyBorder="1" applyAlignment="1">
      <alignment vertical="center" shrinkToFit="1"/>
    </xf>
    <xf numFmtId="177" fontId="3" fillId="0" borderId="118" xfId="0" applyNumberFormat="1" applyFont="1" applyBorder="1" applyAlignment="1">
      <alignment horizontal="right" vertical="center" shrinkToFit="1"/>
    </xf>
    <xf numFmtId="177" fontId="3" fillId="0" borderId="23" xfId="0" applyNumberFormat="1" applyFont="1" applyFill="1" applyBorder="1" applyAlignment="1">
      <alignment vertical="center" shrinkToFit="1"/>
    </xf>
    <xf numFmtId="176" fontId="13" fillId="0" borderId="76" xfId="0" applyNumberFormat="1" applyFont="1" applyBorder="1" applyAlignment="1" applyProtection="1">
      <alignment vertical="center" shrinkToFit="1"/>
      <protection locked="0"/>
    </xf>
    <xf numFmtId="178" fontId="4" fillId="0" borderId="0" xfId="0" applyNumberFormat="1" applyFont="1" applyFill="1" applyAlignment="1" applyProtection="1">
      <alignment vertical="center" shrinkToFit="1"/>
      <protection locked="0"/>
    </xf>
    <xf numFmtId="180" fontId="13" fillId="0" borderId="74" xfId="0" applyNumberFormat="1" applyFont="1" applyFill="1" applyBorder="1" applyAlignment="1" applyProtection="1">
      <alignment horizontal="right" vertical="center" shrinkToFit="1"/>
      <protection locked="0"/>
    </xf>
    <xf numFmtId="0" fontId="34" fillId="0" borderId="39" xfId="0" applyFont="1" applyFill="1" applyBorder="1" applyAlignment="1" applyProtection="1">
      <alignment vertical="center" shrinkToFit="1"/>
      <protection locked="0"/>
    </xf>
    <xf numFmtId="0" fontId="13" fillId="0" borderId="73" xfId="0" applyFont="1" applyFill="1" applyBorder="1" applyAlignment="1" applyProtection="1">
      <alignment vertical="center" shrinkToFit="1"/>
      <protection locked="0"/>
    </xf>
    <xf numFmtId="186" fontId="13" fillId="0" borderId="73" xfId="0" applyNumberFormat="1" applyFont="1" applyFill="1" applyBorder="1" applyAlignment="1" applyProtection="1">
      <alignment vertical="center" shrinkToFit="1"/>
      <protection locked="0"/>
    </xf>
    <xf numFmtId="0" fontId="13" fillId="0" borderId="73" xfId="0" applyFont="1" applyFill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Fill="1" applyBorder="1" applyAlignment="1" applyProtection="1">
      <alignment horizontal="right" vertical="center" shrinkToFit="1"/>
      <protection locked="0"/>
    </xf>
    <xf numFmtId="177" fontId="13" fillId="0" borderId="73" xfId="0" applyNumberFormat="1" applyFont="1" applyFill="1" applyBorder="1" applyAlignment="1" applyProtection="1">
      <alignment vertical="center" shrinkToFit="1"/>
      <protection locked="0"/>
    </xf>
    <xf numFmtId="181" fontId="13" fillId="0" borderId="39" xfId="0" applyNumberFormat="1" applyFont="1" applyFill="1" applyBorder="1" applyAlignment="1" applyProtection="1">
      <alignment horizontal="left" vertical="center"/>
      <protection locked="0"/>
    </xf>
    <xf numFmtId="0" fontId="13" fillId="0" borderId="39" xfId="0" applyFont="1" applyFill="1" applyBorder="1" applyAlignment="1" applyProtection="1">
      <alignment vertical="center"/>
      <protection locked="0"/>
    </xf>
    <xf numFmtId="0" fontId="13" fillId="0" borderId="40" xfId="0" applyFont="1" applyFill="1" applyBorder="1" applyAlignment="1" applyProtection="1">
      <alignment vertical="center"/>
      <protection locked="0"/>
    </xf>
    <xf numFmtId="0" fontId="3" fillId="0" borderId="221" xfId="0" applyFont="1" applyFill="1" applyBorder="1" applyAlignment="1">
      <alignment vertical="center"/>
    </xf>
    <xf numFmtId="0" fontId="0" fillId="0" borderId="218" xfId="0" applyFill="1" applyBorder="1" applyAlignment="1">
      <alignment vertical="center" shrinkToFit="1"/>
    </xf>
    <xf numFmtId="0" fontId="3" fillId="0" borderId="79" xfId="0" applyFont="1" applyFill="1" applyBorder="1" applyAlignment="1" applyProtection="1">
      <alignment vertical="center" shrinkToFit="1"/>
      <protection locked="0"/>
    </xf>
    <xf numFmtId="0" fontId="3" fillId="0" borderId="80" xfId="0" applyFont="1" applyFill="1" applyBorder="1" applyAlignment="1" applyProtection="1">
      <alignment vertical="center" shrinkToFit="1"/>
      <protection locked="0"/>
    </xf>
    <xf numFmtId="0" fontId="3" fillId="0" borderId="11" xfId="0" applyFont="1" applyFill="1" applyBorder="1" applyAlignment="1">
      <alignment vertical="center" shrinkToFit="1"/>
    </xf>
    <xf numFmtId="0" fontId="3" fillId="0" borderId="14" xfId="0" applyFont="1" applyFill="1" applyBorder="1" applyAlignment="1">
      <alignment vertical="center" shrinkToFit="1"/>
    </xf>
    <xf numFmtId="0" fontId="3" fillId="0" borderId="206" xfId="0" applyFont="1" applyFill="1" applyBorder="1" applyAlignment="1">
      <alignment vertical="center" shrinkToFit="1"/>
    </xf>
    <xf numFmtId="0" fontId="3" fillId="0" borderId="123" xfId="0" applyFont="1" applyFill="1" applyBorder="1" applyAlignment="1">
      <alignment vertical="center" shrinkToFit="1"/>
    </xf>
    <xf numFmtId="0" fontId="3" fillId="0" borderId="11" xfId="0" applyFont="1" applyFill="1" applyBorder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  <protection locked="0"/>
    </xf>
    <xf numFmtId="0" fontId="111" fillId="0" borderId="221" xfId="0" applyFont="1" applyBorder="1" applyAlignment="1">
      <alignment vertical="center"/>
    </xf>
    <xf numFmtId="0" fontId="17" fillId="27" borderId="18" xfId="0" applyFont="1" applyFill="1" applyBorder="1" applyAlignment="1" applyProtection="1">
      <alignment horizontal="center" vertical="center"/>
      <protection locked="0"/>
    </xf>
    <xf numFmtId="178" fontId="17" fillId="27" borderId="68" xfId="0" applyNumberFormat="1" applyFont="1" applyFill="1" applyBorder="1" applyAlignment="1" applyProtection="1">
      <alignment horizontal="center" vertical="center"/>
      <protection locked="0"/>
    </xf>
    <xf numFmtId="178" fontId="17" fillId="27" borderId="42" xfId="0" applyNumberFormat="1" applyFont="1" applyFill="1" applyBorder="1" applyAlignment="1" applyProtection="1">
      <alignment horizontal="center" vertical="center"/>
      <protection locked="0"/>
    </xf>
    <xf numFmtId="0" fontId="17" fillId="27" borderId="42" xfId="0" applyFont="1" applyFill="1" applyBorder="1" applyAlignment="1" applyProtection="1">
      <alignment vertical="center"/>
      <protection locked="0"/>
    </xf>
    <xf numFmtId="0" fontId="17" fillId="27" borderId="52" xfId="0" applyFont="1" applyFill="1" applyBorder="1" applyAlignment="1" applyProtection="1">
      <alignment vertical="center"/>
      <protection locked="0"/>
    </xf>
    <xf numFmtId="0" fontId="17" fillId="27" borderId="24" xfId="0" applyFont="1" applyFill="1" applyBorder="1" applyAlignment="1" applyProtection="1">
      <alignment vertical="center"/>
      <protection locked="0"/>
    </xf>
    <xf numFmtId="0" fontId="17" fillId="27" borderId="47" xfId="0" applyFont="1" applyFill="1" applyBorder="1" applyAlignment="1" applyProtection="1">
      <alignment horizontal="center" vertical="center"/>
      <protection locked="0"/>
    </xf>
    <xf numFmtId="179" fontId="17" fillId="27" borderId="30" xfId="0" applyNumberFormat="1" applyFont="1" applyFill="1" applyBorder="1" applyAlignment="1" applyProtection="1">
      <alignment vertical="center" shrinkToFit="1"/>
      <protection locked="0"/>
    </xf>
    <xf numFmtId="179" fontId="17" fillId="27" borderId="31" xfId="0" applyNumberFormat="1" applyFont="1" applyFill="1" applyBorder="1" applyAlignment="1">
      <alignment vertical="center" shrinkToFit="1"/>
    </xf>
    <xf numFmtId="179" fontId="17" fillId="16" borderId="30" xfId="0" applyNumberFormat="1" applyFont="1" applyFill="1" applyBorder="1" applyAlignment="1" applyProtection="1">
      <alignment vertical="center" shrinkToFit="1"/>
      <protection locked="0"/>
    </xf>
    <xf numFmtId="0" fontId="13" fillId="0" borderId="39" xfId="0" applyFont="1" applyFill="1" applyBorder="1" applyAlignment="1" applyProtection="1">
      <alignment vertical="center" shrinkToFit="1"/>
      <protection locked="0"/>
    </xf>
    <xf numFmtId="0" fontId="34" fillId="0" borderId="39" xfId="0" applyFont="1" applyBorder="1" applyAlignment="1" applyProtection="1">
      <alignment vertical="center"/>
      <protection locked="0"/>
    </xf>
    <xf numFmtId="0" fontId="4" fillId="36" borderId="0" xfId="0" applyFont="1" applyFill="1" applyBorder="1" applyAlignment="1">
      <alignment horizontal="center" vertical="center"/>
    </xf>
    <xf numFmtId="0" fontId="9" fillId="36" borderId="0" xfId="0" applyFont="1" applyFill="1" applyBorder="1" applyAlignment="1">
      <alignment horizontal="center" vertical="center" shrinkToFit="1"/>
    </xf>
    <xf numFmtId="177" fontId="53" fillId="36" borderId="82" xfId="0" applyNumberFormat="1" applyFont="1" applyFill="1" applyBorder="1" applyAlignment="1">
      <alignment horizontal="center" vertical="center" shrinkToFit="1"/>
    </xf>
    <xf numFmtId="177" fontId="53" fillId="34" borderId="82" xfId="0" applyNumberFormat="1" applyFont="1" applyFill="1" applyBorder="1" applyAlignment="1">
      <alignment horizontal="center" vertical="center" shrinkToFit="1"/>
    </xf>
    <xf numFmtId="0" fontId="9" fillId="34" borderId="0" xfId="0" applyFont="1" applyFill="1" applyBorder="1" applyAlignment="1">
      <alignment horizontal="center" vertical="center" shrinkToFit="1"/>
    </xf>
    <xf numFmtId="0" fontId="45" fillId="0" borderId="39" xfId="0" applyFont="1" applyFill="1" applyBorder="1" applyAlignment="1" applyProtection="1">
      <alignment vertical="center" shrinkToFit="1"/>
      <protection locked="0"/>
    </xf>
    <xf numFmtId="0" fontId="11" fillId="16" borderId="0" xfId="0" applyFont="1" applyFill="1" applyBorder="1" applyAlignment="1">
      <alignment horizontal="right"/>
    </xf>
    <xf numFmtId="0" fontId="24" fillId="36" borderId="226" xfId="0" applyFont="1" applyFill="1" applyBorder="1" applyAlignment="1">
      <alignment horizontal="right" vertical="center"/>
    </xf>
    <xf numFmtId="0" fontId="24" fillId="36" borderId="270" xfId="0" applyFont="1" applyFill="1" applyBorder="1" applyAlignment="1">
      <alignment horizontal="left" vertical="center"/>
    </xf>
    <xf numFmtId="0" fontId="24" fillId="36" borderId="270" xfId="0" applyFont="1" applyFill="1" applyBorder="1" applyAlignment="1">
      <alignment horizontal="right" vertical="center"/>
    </xf>
    <xf numFmtId="177" fontId="24" fillId="36" borderId="266" xfId="0" applyNumberFormat="1" applyFont="1" applyFill="1" applyBorder="1" applyAlignment="1">
      <alignment horizontal="right" vertical="center"/>
    </xf>
    <xf numFmtId="177" fontId="24" fillId="36" borderId="270" xfId="0" applyNumberFormat="1" applyFont="1" applyFill="1" applyBorder="1" applyAlignment="1">
      <alignment horizontal="right" vertical="center" shrinkToFit="1"/>
    </xf>
    <xf numFmtId="0" fontId="4" fillId="36" borderId="0" xfId="0" applyFont="1" applyFill="1" applyBorder="1" applyAlignment="1">
      <alignment vertical="center"/>
    </xf>
    <xf numFmtId="0" fontId="17" fillId="36" borderId="226" xfId="0" applyFont="1" applyFill="1" applyBorder="1" applyAlignment="1">
      <alignment vertical="center"/>
    </xf>
    <xf numFmtId="0" fontId="57" fillId="36" borderId="268" xfId="0" applyFont="1" applyFill="1" applyBorder="1" applyAlignment="1">
      <alignment vertical="center"/>
    </xf>
    <xf numFmtId="0" fontId="17" fillId="36" borderId="279" xfId="0" applyFont="1" applyFill="1" applyBorder="1" applyAlignment="1">
      <alignment vertical="center"/>
    </xf>
    <xf numFmtId="0" fontId="17" fillId="36" borderId="270" xfId="0" applyFont="1" applyFill="1" applyBorder="1" applyAlignment="1">
      <alignment vertical="center"/>
    </xf>
    <xf numFmtId="0" fontId="17" fillId="36" borderId="270" xfId="0" applyFont="1" applyFill="1" applyBorder="1" applyAlignment="1">
      <alignment horizontal="right" vertical="center"/>
    </xf>
    <xf numFmtId="0" fontId="55" fillId="36" borderId="280" xfId="0" applyFont="1" applyFill="1" applyBorder="1" applyAlignment="1">
      <alignment vertical="center"/>
    </xf>
    <xf numFmtId="0" fontId="17" fillId="36" borderId="281" xfId="0" applyFont="1" applyFill="1" applyBorder="1" applyAlignment="1">
      <alignment vertical="center"/>
    </xf>
    <xf numFmtId="0" fontId="28" fillId="36" borderId="281" xfId="0" applyFont="1" applyFill="1" applyBorder="1" applyAlignment="1">
      <alignment horizontal="right" vertical="center"/>
    </xf>
    <xf numFmtId="177" fontId="17" fillId="36" borderId="242" xfId="0" applyNumberFormat="1" applyFont="1" applyFill="1" applyBorder="1" applyAlignment="1">
      <alignment vertical="center"/>
    </xf>
    <xf numFmtId="177" fontId="17" fillId="36" borderId="242" xfId="0" applyNumberFormat="1" applyFont="1" applyFill="1" applyBorder="1" applyAlignment="1">
      <alignment vertical="center" shrinkToFit="1"/>
    </xf>
    <xf numFmtId="177" fontId="17" fillId="36" borderId="282" xfId="0" applyNumberFormat="1" applyFont="1" applyFill="1" applyBorder="1" applyAlignment="1">
      <alignment vertical="center" shrinkToFit="1"/>
    </xf>
    <xf numFmtId="0" fontId="4" fillId="34" borderId="0" xfId="0" applyFont="1" applyFill="1" applyBorder="1" applyAlignment="1">
      <alignment horizontal="center" vertical="center"/>
    </xf>
    <xf numFmtId="38" fontId="3" fillId="16" borderId="232" xfId="0" applyNumberFormat="1" applyFont="1" applyFill="1" applyBorder="1" applyAlignment="1">
      <alignment horizontal="right" shrinkToFit="1"/>
    </xf>
    <xf numFmtId="0" fontId="17" fillId="27" borderId="41" xfId="0" applyFont="1" applyFill="1" applyBorder="1" applyAlignment="1" applyProtection="1">
      <alignment vertical="center"/>
      <protection locked="0"/>
    </xf>
    <xf numFmtId="0" fontId="3" fillId="0" borderId="49" xfId="0" applyFont="1" applyBorder="1" applyAlignment="1">
      <alignment horizontal="center" vertical="center"/>
    </xf>
    <xf numFmtId="0" fontId="17" fillId="16" borderId="41" xfId="0" applyFont="1" applyFill="1" applyBorder="1" applyAlignment="1" applyProtection="1">
      <alignment vertical="center"/>
      <protection locked="0"/>
    </xf>
    <xf numFmtId="9" fontId="10" fillId="37" borderId="0" xfId="0" applyNumberFormat="1" applyFont="1" applyFill="1" applyAlignment="1">
      <alignment horizontal="center" vertical="center"/>
    </xf>
    <xf numFmtId="0" fontId="17" fillId="0" borderId="18" xfId="0" applyFont="1" applyFill="1" applyBorder="1" applyAlignment="1" applyProtection="1">
      <alignment horizontal="center" vertical="center"/>
      <protection locked="0"/>
    </xf>
    <xf numFmtId="178" fontId="17" fillId="0" borderId="68" xfId="0" applyNumberFormat="1" applyFont="1" applyFill="1" applyBorder="1" applyAlignment="1" applyProtection="1">
      <alignment horizontal="center" vertical="center"/>
      <protection locked="0"/>
    </xf>
    <xf numFmtId="178" fontId="17" fillId="0" borderId="42" xfId="0" applyNumberFormat="1" applyFont="1" applyFill="1" applyBorder="1" applyAlignment="1" applyProtection="1">
      <alignment horizontal="center" vertical="center"/>
      <protection locked="0"/>
    </xf>
    <xf numFmtId="0" fontId="17" fillId="0" borderId="42" xfId="0" applyFont="1" applyFill="1" applyBorder="1" applyAlignment="1" applyProtection="1">
      <alignment vertical="center"/>
      <protection locked="0"/>
    </xf>
    <xf numFmtId="0" fontId="17" fillId="0" borderId="52" xfId="0" applyFont="1" applyFill="1" applyBorder="1" applyAlignment="1" applyProtection="1">
      <alignment vertical="center"/>
      <protection locked="0"/>
    </xf>
    <xf numFmtId="0" fontId="17" fillId="0" borderId="24" xfId="0" applyFont="1" applyFill="1" applyBorder="1" applyAlignment="1" applyProtection="1">
      <alignment vertical="center"/>
      <protection locked="0"/>
    </xf>
    <xf numFmtId="0" fontId="17" fillId="0" borderId="47" xfId="0" applyFont="1" applyFill="1" applyBorder="1" applyAlignment="1" applyProtection="1">
      <alignment horizontal="center" vertical="center"/>
      <protection locked="0"/>
    </xf>
    <xf numFmtId="179" fontId="17" fillId="0" borderId="30" xfId="0" applyNumberFormat="1" applyFont="1" applyFill="1" applyBorder="1" applyAlignment="1" applyProtection="1">
      <alignment vertical="center" shrinkToFit="1"/>
      <protection locked="0"/>
    </xf>
    <xf numFmtId="179" fontId="17" fillId="0" borderId="31" xfId="0" applyNumberFormat="1" applyFont="1" applyFill="1" applyBorder="1" applyAlignment="1">
      <alignment vertical="center" shrinkToFit="1"/>
    </xf>
    <xf numFmtId="179" fontId="17" fillId="0" borderId="24" xfId="0" applyNumberFormat="1" applyFont="1" applyFill="1" applyBorder="1" applyAlignment="1" applyProtection="1">
      <alignment vertical="center" shrinkToFit="1"/>
      <protection locked="0"/>
    </xf>
    <xf numFmtId="179" fontId="17" fillId="0" borderId="55" xfId="0" applyNumberFormat="1" applyFont="1" applyFill="1" applyBorder="1" applyAlignment="1">
      <alignment vertical="center" shrinkToFit="1"/>
    </xf>
    <xf numFmtId="179" fontId="17" fillId="0" borderId="60" xfId="0" applyNumberFormat="1" applyFont="1" applyFill="1" applyBorder="1" applyAlignment="1">
      <alignment vertical="center" shrinkToFit="1"/>
    </xf>
    <xf numFmtId="0" fontId="9" fillId="38" borderId="0" xfId="0" applyFont="1" applyFill="1" applyBorder="1" applyAlignment="1">
      <alignment horizontal="center" vertical="center" shrinkToFit="1"/>
    </xf>
    <xf numFmtId="0" fontId="9" fillId="38" borderId="0" xfId="0" applyFont="1" applyFill="1" applyBorder="1" applyAlignment="1">
      <alignment horizontal="center" vertical="center"/>
    </xf>
    <xf numFmtId="177" fontId="53" fillId="38" borderId="82" xfId="0" applyNumberFormat="1" applyFont="1" applyFill="1" applyBorder="1" applyAlignment="1">
      <alignment horizontal="center" vertical="center" shrinkToFit="1"/>
    </xf>
    <xf numFmtId="0" fontId="3" fillId="0" borderId="23" xfId="0" applyNumberFormat="1" applyFont="1" applyFill="1" applyBorder="1" applyAlignment="1">
      <alignment vertical="center"/>
    </xf>
    <xf numFmtId="187" fontId="3" fillId="0" borderId="142" xfId="0" applyNumberFormat="1" applyFont="1" applyFill="1" applyBorder="1" applyAlignment="1">
      <alignment vertical="center"/>
    </xf>
    <xf numFmtId="187" fontId="3" fillId="0" borderId="23" xfId="0" applyNumberFormat="1" applyFont="1" applyFill="1" applyBorder="1" applyAlignment="1">
      <alignment vertical="center"/>
    </xf>
    <xf numFmtId="177" fontId="3" fillId="0" borderId="23" xfId="0" applyNumberFormat="1" applyFont="1" applyFill="1" applyBorder="1" applyAlignment="1">
      <alignment horizontal="center" vertical="center"/>
    </xf>
    <xf numFmtId="177" fontId="3" fillId="0" borderId="23" xfId="0" applyNumberFormat="1" applyFont="1" applyFill="1" applyBorder="1" applyAlignment="1">
      <alignment vertical="center"/>
    </xf>
    <xf numFmtId="177" fontId="3" fillId="0" borderId="142" xfId="0" applyNumberFormat="1" applyFont="1" applyFill="1" applyBorder="1" applyAlignment="1">
      <alignment vertical="center"/>
    </xf>
    <xf numFmtId="177" fontId="3" fillId="0" borderId="143" xfId="0" applyNumberFormat="1" applyFont="1" applyFill="1" applyBorder="1" applyAlignment="1">
      <alignment vertical="center"/>
    </xf>
    <xf numFmtId="0" fontId="13" fillId="0" borderId="145" xfId="0" applyFont="1" applyBorder="1" applyAlignment="1" applyProtection="1">
      <alignment horizontal="center" vertical="center"/>
      <protection locked="0"/>
    </xf>
    <xf numFmtId="0" fontId="3" fillId="0" borderId="140" xfId="0" applyNumberFormat="1" applyFont="1" applyBorder="1" applyAlignment="1">
      <alignment horizontal="left" vertical="center" shrinkToFit="1"/>
    </xf>
    <xf numFmtId="0" fontId="11" fillId="16" borderId="0" xfId="0" applyFont="1" applyFill="1" applyBorder="1" applyAlignment="1">
      <alignment horizontal="right"/>
    </xf>
    <xf numFmtId="0" fontId="45" fillId="0" borderId="39" xfId="0" applyFont="1" applyBorder="1" applyAlignment="1" applyProtection="1">
      <alignment vertical="center" shrinkToFit="1"/>
      <protection locked="0"/>
    </xf>
    <xf numFmtId="0" fontId="111" fillId="0" borderId="221" xfId="0" applyFont="1" applyFill="1" applyBorder="1" applyAlignment="1">
      <alignment vertical="center"/>
    </xf>
    <xf numFmtId="0" fontId="17" fillId="0" borderId="0" xfId="0" applyFont="1" applyBorder="1" applyAlignment="1" applyProtection="1">
      <alignment vertical="center" shrinkToFit="1"/>
      <protection locked="0"/>
    </xf>
    <xf numFmtId="0" fontId="17" fillId="0" borderId="0" xfId="0" applyFont="1" applyBorder="1" applyAlignment="1">
      <alignment vertical="center"/>
    </xf>
    <xf numFmtId="0" fontId="17" fillId="0" borderId="0" xfId="0" applyFont="1" applyBorder="1" applyAlignment="1" applyProtection="1">
      <alignment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3" fillId="0" borderId="140" xfId="0" applyNumberFormat="1" applyFont="1" applyBorder="1" applyAlignment="1">
      <alignment horizontal="left" vertical="center"/>
    </xf>
    <xf numFmtId="0" fontId="0" fillId="0" borderId="0" xfId="0" applyAlignment="1">
      <alignment horizontal="center" vertical="center" textRotation="255" shrinkToFit="1"/>
    </xf>
    <xf numFmtId="0" fontId="0" fillId="0" borderId="153" xfId="0" applyBorder="1" applyAlignment="1">
      <alignment horizontal="center" vertical="center" textRotation="255" shrinkToFit="1"/>
    </xf>
    <xf numFmtId="0" fontId="3" fillId="0" borderId="154" xfId="0" applyFont="1" applyBorder="1" applyAlignment="1">
      <alignment horizontal="center" vertical="center"/>
    </xf>
    <xf numFmtId="0" fontId="3" fillId="0" borderId="132" xfId="0" applyFont="1" applyBorder="1" applyAlignment="1">
      <alignment horizontal="center"/>
    </xf>
    <xf numFmtId="0" fontId="3" fillId="0" borderId="155" xfId="0" applyFont="1" applyBorder="1" applyAlignment="1">
      <alignment horizontal="center" vertical="center"/>
    </xf>
    <xf numFmtId="0" fontId="3" fillId="0" borderId="156" xfId="0" applyFont="1" applyBorder="1" applyAlignment="1">
      <alignment horizontal="center"/>
    </xf>
    <xf numFmtId="0" fontId="3" fillId="0" borderId="133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58" fontId="16" fillId="0" borderId="0" xfId="0" applyNumberFormat="1" applyFont="1" applyBorder="1" applyAlignment="1" applyProtection="1">
      <alignment horizontal="center" vertical="center" shrinkToFit="1"/>
      <protection locked="0"/>
    </xf>
    <xf numFmtId="0" fontId="15" fillId="0" borderId="157" xfId="0" applyFont="1" applyFill="1" applyBorder="1" applyAlignment="1" applyProtection="1">
      <alignment horizontal="distributed" vertical="center" justifyLastLine="1"/>
      <protection locked="0"/>
    </xf>
    <xf numFmtId="0" fontId="43" fillId="0" borderId="0" xfId="0" applyFont="1" applyBorder="1" applyAlignment="1" applyProtection="1">
      <alignment horizontal="center" vertical="center"/>
    </xf>
    <xf numFmtId="0" fontId="9" fillId="15" borderId="23" xfId="0" applyFont="1" applyFill="1" applyBorder="1" applyAlignment="1" applyProtection="1">
      <alignment horizontal="center" vertical="center" shrinkToFit="1"/>
    </xf>
    <xf numFmtId="0" fontId="17" fillId="0" borderId="23" xfId="0" applyFont="1" applyBorder="1" applyAlignment="1">
      <alignment horizontal="center" vertical="center"/>
    </xf>
    <xf numFmtId="177" fontId="24" fillId="0" borderId="23" xfId="0" applyNumberFormat="1" applyFont="1" applyBorder="1" applyAlignment="1" applyProtection="1">
      <alignment horizontal="center" vertical="center"/>
    </xf>
    <xf numFmtId="195" fontId="35" fillId="16" borderId="23" xfId="0" applyNumberFormat="1" applyFont="1" applyFill="1" applyBorder="1" applyAlignment="1" applyProtection="1">
      <alignment horizontal="center" vertical="center" shrinkToFit="1"/>
      <protection locked="0"/>
    </xf>
    <xf numFmtId="55" fontId="24" fillId="0" borderId="23" xfId="0" applyNumberFormat="1" applyFont="1" applyBorder="1" applyAlignment="1" applyProtection="1">
      <alignment horizontal="center" vertical="center" wrapText="1"/>
    </xf>
    <xf numFmtId="188" fontId="24" fillId="0" borderId="23" xfId="0" applyNumberFormat="1" applyFont="1" applyFill="1" applyBorder="1" applyAlignment="1" applyProtection="1">
      <alignment horizontal="center" vertical="center"/>
      <protection locked="0"/>
    </xf>
    <xf numFmtId="0" fontId="3" fillId="0" borderId="161" xfId="0" applyFont="1" applyBorder="1" applyAlignment="1">
      <alignment horizontal="center" vertical="center"/>
    </xf>
    <xf numFmtId="0" fontId="24" fillId="0" borderId="179" xfId="0" applyFont="1" applyBorder="1" applyAlignment="1" applyProtection="1">
      <alignment horizontal="center" vertical="center" wrapText="1"/>
    </xf>
    <xf numFmtId="0" fontId="24" fillId="0" borderId="180" xfId="0" applyFont="1" applyBorder="1" applyAlignment="1" applyProtection="1">
      <alignment horizontal="center" vertical="center" wrapText="1"/>
    </xf>
    <xf numFmtId="0" fontId="24" fillId="0" borderId="181" xfId="0" applyFont="1" applyBorder="1" applyAlignment="1" applyProtection="1">
      <alignment horizontal="center" vertical="center" wrapText="1"/>
    </xf>
    <xf numFmtId="0" fontId="24" fillId="0" borderId="148" xfId="0" applyFont="1" applyBorder="1" applyAlignment="1" applyProtection="1">
      <alignment horizontal="center" vertical="center" wrapText="1"/>
    </xf>
    <xf numFmtId="0" fontId="24" fillId="0" borderId="182" xfId="0" applyFont="1" applyBorder="1" applyAlignment="1" applyProtection="1">
      <alignment horizontal="center" vertical="center" wrapText="1"/>
    </xf>
    <xf numFmtId="0" fontId="24" fillId="0" borderId="183" xfId="0" applyFont="1" applyBorder="1" applyAlignment="1" applyProtection="1">
      <alignment horizontal="center" vertical="center" wrapText="1"/>
    </xf>
    <xf numFmtId="0" fontId="24" fillId="0" borderId="209" xfId="0" applyFont="1" applyBorder="1" applyAlignment="1" applyProtection="1">
      <alignment horizontal="center" vertical="center" wrapText="1"/>
    </xf>
    <xf numFmtId="0" fontId="24" fillId="0" borderId="210" xfId="0" applyFont="1" applyBorder="1" applyAlignment="1" applyProtection="1">
      <alignment horizontal="center" vertical="center" wrapText="1"/>
    </xf>
    <xf numFmtId="0" fontId="24" fillId="0" borderId="208" xfId="0" applyFont="1" applyBorder="1" applyAlignment="1" applyProtection="1">
      <alignment horizontal="center" vertical="center" wrapText="1"/>
    </xf>
    <xf numFmtId="0" fontId="3" fillId="0" borderId="49" xfId="0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63" xfId="0" applyBorder="1" applyAlignment="1">
      <alignment horizontal="center" vertical="center"/>
    </xf>
    <xf numFmtId="0" fontId="37" fillId="15" borderId="23" xfId="0" applyFont="1" applyFill="1" applyBorder="1" applyAlignment="1" applyProtection="1">
      <alignment horizontal="center" vertical="center" shrinkToFit="1"/>
    </xf>
    <xf numFmtId="0" fontId="24" fillId="0" borderId="158" xfId="0" applyFont="1" applyBorder="1" applyAlignment="1" applyProtection="1">
      <alignment horizontal="center" vertical="center" shrinkToFit="1"/>
    </xf>
    <xf numFmtId="0" fontId="24" fillId="0" borderId="159" xfId="0" applyFont="1" applyBorder="1" applyAlignment="1" applyProtection="1">
      <alignment horizontal="center" vertical="center" shrinkToFit="1"/>
    </xf>
    <xf numFmtId="0" fontId="24" fillId="0" borderId="160" xfId="0" applyFont="1" applyBorder="1" applyAlignment="1" applyProtection="1">
      <alignment horizontal="center" vertical="center" shrinkToFit="1"/>
    </xf>
    <xf numFmtId="177" fontId="9" fillId="15" borderId="23" xfId="0" applyNumberFormat="1" applyFont="1" applyFill="1" applyBorder="1" applyAlignment="1" applyProtection="1">
      <alignment horizontal="center" vertical="center" shrinkToFit="1"/>
    </xf>
    <xf numFmtId="0" fontId="24" fillId="0" borderId="158" xfId="0" applyFont="1" applyBorder="1" applyAlignment="1" applyProtection="1">
      <alignment horizontal="center" vertical="center" wrapText="1"/>
    </xf>
    <xf numFmtId="0" fontId="24" fillId="0" borderId="160" xfId="0" applyFont="1" applyBorder="1" applyAlignment="1" applyProtection="1">
      <alignment horizontal="center" vertical="center" wrapText="1"/>
    </xf>
    <xf numFmtId="0" fontId="39" fillId="0" borderId="0" xfId="0" applyFont="1" applyFill="1" applyBorder="1" applyAlignment="1" applyProtection="1">
      <alignment horizontal="center" vertical="center"/>
    </xf>
    <xf numFmtId="0" fontId="39" fillId="0" borderId="246" xfId="0" applyFont="1" applyFill="1" applyBorder="1" applyAlignment="1" applyProtection="1">
      <alignment horizontal="center" vertical="center"/>
    </xf>
    <xf numFmtId="178" fontId="4" fillId="0" borderId="144" xfId="0" applyNumberFormat="1" applyFont="1" applyBorder="1" applyAlignment="1" applyProtection="1">
      <alignment horizontal="center" vertical="center" shrinkToFit="1"/>
      <protection locked="0"/>
    </xf>
    <xf numFmtId="178" fontId="4" fillId="0" borderId="142" xfId="0" applyNumberFormat="1" applyFont="1" applyBorder="1" applyAlignment="1" applyProtection="1">
      <alignment horizontal="center" vertical="center" shrinkToFit="1"/>
      <protection locked="0"/>
    </xf>
    <xf numFmtId="0" fontId="28" fillId="19" borderId="164" xfId="0" applyFont="1" applyFill="1" applyBorder="1" applyAlignment="1">
      <alignment horizontal="left" vertical="center" wrapText="1"/>
    </xf>
    <xf numFmtId="0" fontId="28" fillId="19" borderId="40" xfId="0" applyFont="1" applyFill="1" applyBorder="1" applyAlignment="1">
      <alignment horizontal="left" vertical="center" wrapText="1"/>
    </xf>
    <xf numFmtId="0" fontId="13" fillId="18" borderId="125" xfId="0" applyFont="1" applyFill="1" applyBorder="1" applyAlignment="1" applyProtection="1">
      <alignment horizontal="center" vertical="center"/>
    </xf>
    <xf numFmtId="0" fontId="13" fillId="18" borderId="124" xfId="0" applyFont="1" applyFill="1" applyBorder="1" applyAlignment="1" applyProtection="1">
      <alignment horizontal="center" vertical="center"/>
    </xf>
    <xf numFmtId="0" fontId="13" fillId="18" borderId="166" xfId="0" applyFont="1" applyFill="1" applyBorder="1" applyAlignment="1" applyProtection="1">
      <alignment horizontal="center" vertical="center"/>
    </xf>
    <xf numFmtId="0" fontId="13" fillId="18" borderId="65" xfId="0" applyFont="1" applyFill="1" applyBorder="1" applyAlignment="1" applyProtection="1">
      <alignment horizontal="center" vertical="center"/>
    </xf>
    <xf numFmtId="0" fontId="13" fillId="18" borderId="66" xfId="0" applyFont="1" applyFill="1" applyBorder="1" applyAlignment="1" applyProtection="1">
      <alignment horizontal="center" vertical="center"/>
    </xf>
    <xf numFmtId="178" fontId="4" fillId="0" borderId="126" xfId="0" applyNumberFormat="1" applyFont="1" applyBorder="1" applyAlignment="1" applyProtection="1">
      <alignment horizontal="center" vertical="center" shrinkToFit="1"/>
      <protection locked="0"/>
    </xf>
    <xf numFmtId="178" fontId="4" fillId="0" borderId="127" xfId="0" applyNumberFormat="1" applyFont="1" applyBorder="1" applyAlignment="1" applyProtection="1">
      <alignment horizontal="center" vertical="center" shrinkToFit="1"/>
      <protection locked="0"/>
    </xf>
    <xf numFmtId="0" fontId="28" fillId="19" borderId="217" xfId="0" applyFont="1" applyFill="1" applyBorder="1" applyAlignment="1">
      <alignment horizontal="left" vertical="center" wrapText="1"/>
    </xf>
    <xf numFmtId="0" fontId="28" fillId="19" borderId="78" xfId="0" applyFont="1" applyFill="1" applyBorder="1" applyAlignment="1">
      <alignment horizontal="left" vertical="center" wrapText="1"/>
    </xf>
    <xf numFmtId="0" fontId="11" fillId="16" borderId="0" xfId="0" applyFont="1" applyFill="1" applyBorder="1" applyAlignment="1">
      <alignment horizontal="right"/>
    </xf>
    <xf numFmtId="0" fontId="11" fillId="16" borderId="234" xfId="0" applyFont="1" applyFill="1" applyBorder="1" applyAlignment="1">
      <alignment horizontal="right"/>
    </xf>
    <xf numFmtId="0" fontId="3" fillId="20" borderId="249" xfId="0" applyFont="1" applyFill="1" applyBorder="1" applyAlignment="1">
      <alignment horizontal="left" shrinkToFit="1"/>
    </xf>
    <xf numFmtId="0" fontId="3" fillId="20" borderId="255" xfId="0" applyFont="1" applyFill="1" applyBorder="1" applyAlignment="1">
      <alignment horizontal="left" shrinkToFit="1"/>
    </xf>
    <xf numFmtId="0" fontId="28" fillId="20" borderId="231" xfId="0" applyFont="1" applyFill="1" applyBorder="1" applyAlignment="1">
      <alignment horizontal="center" wrapText="1"/>
    </xf>
    <xf numFmtId="0" fontId="31" fillId="0" borderId="89" xfId="0" applyFont="1" applyBorder="1" applyAlignment="1">
      <alignment horizontal="center" wrapText="1"/>
    </xf>
    <xf numFmtId="0" fontId="3" fillId="20" borderId="87" xfId="0" applyFont="1" applyFill="1" applyBorder="1" applyAlignment="1">
      <alignment horizontal="right" shrinkToFit="1"/>
    </xf>
    <xf numFmtId="0" fontId="0" fillId="0" borderId="87" xfId="0" applyFont="1" applyBorder="1" applyAlignment="1">
      <alignment shrinkToFit="1"/>
    </xf>
    <xf numFmtId="0" fontId="0" fillId="0" borderId="205" xfId="0" applyFont="1" applyBorder="1" applyAlignment="1">
      <alignment shrinkToFit="1"/>
    </xf>
    <xf numFmtId="0" fontId="3" fillId="20" borderId="229" xfId="0" applyFont="1" applyFill="1" applyBorder="1" applyAlignment="1">
      <alignment horizontal="center" vertical="center" textRotation="255"/>
    </xf>
    <xf numFmtId="0" fontId="0" fillId="0" borderId="228" xfId="0" applyBorder="1" applyAlignment="1">
      <alignment horizontal="center" vertical="center" textRotation="255"/>
    </xf>
    <xf numFmtId="0" fontId="0" fillId="0" borderId="205" xfId="0" applyBorder="1" applyAlignment="1">
      <alignment horizontal="center" vertical="center" textRotation="255"/>
    </xf>
    <xf numFmtId="0" fontId="49" fillId="0" borderId="0" xfId="0" applyFont="1" applyFill="1" applyBorder="1" applyAlignment="1">
      <alignment horizontal="left" vertical="center" shrinkToFit="1"/>
    </xf>
    <xf numFmtId="0" fontId="11" fillId="0" borderId="258" xfId="0" applyFont="1" applyFill="1" applyBorder="1" applyAlignment="1">
      <alignment horizontal="distributed" vertical="center"/>
    </xf>
    <xf numFmtId="0" fontId="52" fillId="0" borderId="178" xfId="0" applyFont="1" applyFill="1" applyBorder="1" applyAlignment="1">
      <alignment horizontal="distributed" vertical="center"/>
    </xf>
    <xf numFmtId="0" fontId="52" fillId="0" borderId="176" xfId="0" applyFont="1" applyFill="1" applyBorder="1" applyAlignment="1">
      <alignment horizontal="distributed" vertical="center"/>
    </xf>
    <xf numFmtId="0" fontId="52" fillId="0" borderId="15" xfId="0" applyFont="1" applyFill="1" applyBorder="1" applyAlignment="1">
      <alignment horizontal="distributed" vertical="center"/>
    </xf>
    <xf numFmtId="0" fontId="54" fillId="0" borderId="226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0" fontId="54" fillId="0" borderId="228" xfId="0" applyFont="1" applyFill="1" applyBorder="1" applyAlignment="1">
      <alignment horizontal="right"/>
    </xf>
    <xf numFmtId="0" fontId="52" fillId="0" borderId="224" xfId="0" applyFont="1" applyFill="1" applyBorder="1" applyAlignment="1">
      <alignment horizontal="left" vertical="center" shrinkToFit="1"/>
    </xf>
    <xf numFmtId="0" fontId="52" fillId="0" borderId="225" xfId="0" applyFont="1" applyFill="1" applyBorder="1" applyAlignment="1">
      <alignment horizontal="left" vertical="center" shrinkToFit="1"/>
    </xf>
    <xf numFmtId="0" fontId="52" fillId="0" borderId="229" xfId="0" applyFont="1" applyFill="1" applyBorder="1" applyAlignment="1">
      <alignment horizontal="left" vertical="center" shrinkToFit="1"/>
    </xf>
    <xf numFmtId="0" fontId="24" fillId="0" borderId="149" xfId="0" applyFont="1" applyFill="1" applyBorder="1" applyAlignment="1">
      <alignment horizontal="center" vertical="center" shrinkToFit="1"/>
    </xf>
    <xf numFmtId="0" fontId="24" fillId="0" borderId="231" xfId="0" applyFont="1" applyFill="1" applyBorder="1" applyAlignment="1">
      <alignment horizontal="center" vertical="center" textRotation="255"/>
    </xf>
    <xf numFmtId="0" fontId="24" fillId="0" borderId="121" xfId="0" applyFont="1" applyFill="1" applyBorder="1" applyAlignment="1">
      <alignment horizontal="center" vertical="center" textRotation="255"/>
    </xf>
    <xf numFmtId="0" fontId="24" fillId="0" borderId="95" xfId="0" applyFont="1" applyFill="1" applyBorder="1" applyAlignment="1">
      <alignment horizontal="center" vertical="center" textRotation="255"/>
    </xf>
    <xf numFmtId="0" fontId="24" fillId="0" borderId="120" xfId="0" applyFont="1" applyFill="1" applyBorder="1" applyAlignment="1">
      <alignment horizontal="center" vertical="center" textRotation="255"/>
    </xf>
    <xf numFmtId="0" fontId="24" fillId="0" borderId="264" xfId="0" applyFont="1" applyFill="1" applyBorder="1" applyAlignment="1">
      <alignment horizontal="center" vertical="center"/>
    </xf>
    <xf numFmtId="0" fontId="24" fillId="0" borderId="265" xfId="0" applyFont="1" applyFill="1" applyBorder="1" applyAlignment="1">
      <alignment horizontal="center" vertical="center"/>
    </xf>
    <xf numFmtId="0" fontId="54" fillId="0" borderId="226" xfId="0" applyFont="1" applyBorder="1" applyAlignment="1">
      <alignment horizontal="right" vertical="center" wrapText="1" shrinkToFit="1"/>
    </xf>
    <xf numFmtId="0" fontId="54" fillId="0" borderId="0" xfId="0" applyFont="1" applyBorder="1" applyAlignment="1">
      <alignment horizontal="right" vertical="center" wrapText="1" shrinkToFit="1"/>
    </xf>
    <xf numFmtId="0" fontId="54" fillId="0" borderId="228" xfId="0" applyFont="1" applyBorder="1" applyAlignment="1">
      <alignment horizontal="right" vertical="center" wrapText="1" shrinkToFit="1"/>
    </xf>
    <xf numFmtId="0" fontId="54" fillId="0" borderId="189" xfId="0" applyFont="1" applyBorder="1" applyAlignment="1">
      <alignment horizontal="right" vertical="center" wrapText="1" shrinkToFit="1"/>
    </xf>
    <xf numFmtId="0" fontId="54" fillId="0" borderId="139" xfId="0" applyFont="1" applyBorder="1" applyAlignment="1">
      <alignment horizontal="right" vertical="center" wrapText="1" shrinkToFit="1"/>
    </xf>
    <xf numFmtId="0" fontId="54" fillId="0" borderId="201" xfId="0" applyFont="1" applyBorder="1" applyAlignment="1">
      <alignment horizontal="right" vertical="center" wrapText="1" shrinkToFit="1"/>
    </xf>
    <xf numFmtId="0" fontId="4" fillId="0" borderId="149" xfId="0" applyFont="1" applyFill="1" applyBorder="1" applyAlignment="1">
      <alignment horizontal="center"/>
    </xf>
    <xf numFmtId="0" fontId="4" fillId="0" borderId="260" xfId="0" applyFont="1" applyFill="1" applyBorder="1" applyAlignment="1">
      <alignment horizontal="center"/>
    </xf>
    <xf numFmtId="0" fontId="4" fillId="0" borderId="231" xfId="0" applyFont="1" applyFill="1" applyBorder="1" applyAlignment="1">
      <alignment horizontal="center" vertical="center" textRotation="255"/>
    </xf>
    <xf numFmtId="0" fontId="4" fillId="0" borderId="121" xfId="0" applyFont="1" applyFill="1" applyBorder="1" applyAlignment="1">
      <alignment horizontal="center" vertical="center" textRotation="255"/>
    </xf>
    <xf numFmtId="0" fontId="4" fillId="0" borderId="95" xfId="0" applyFont="1" applyFill="1" applyBorder="1" applyAlignment="1">
      <alignment horizontal="center" vertical="center" textRotation="255"/>
    </xf>
    <xf numFmtId="0" fontId="4" fillId="0" borderId="120" xfId="0" applyFont="1" applyFill="1" applyBorder="1" applyAlignment="1">
      <alignment horizontal="center" vertical="center" textRotation="255"/>
    </xf>
    <xf numFmtId="0" fontId="4" fillId="0" borderId="89" xfId="0" applyFont="1" applyFill="1" applyBorder="1" applyAlignment="1">
      <alignment horizontal="center" vertical="center" textRotation="255"/>
    </xf>
    <xf numFmtId="0" fontId="17" fillId="0" borderId="231" xfId="0" applyFont="1" applyBorder="1" applyAlignment="1">
      <alignment vertical="center" textRotation="255"/>
    </xf>
    <xf numFmtId="0" fontId="17" fillId="0" borderId="284" xfId="0" applyFont="1" applyBorder="1" applyAlignment="1">
      <alignment vertical="center" textRotation="255"/>
    </xf>
    <xf numFmtId="0" fontId="17" fillId="0" borderId="89" xfId="0" applyFont="1" applyBorder="1" applyAlignment="1">
      <alignment vertical="center" textRotation="255"/>
    </xf>
    <xf numFmtId="0" fontId="57" fillId="36" borderId="268" xfId="0" applyFont="1" applyFill="1" applyBorder="1" applyAlignment="1">
      <alignment horizontal="left" vertical="center"/>
    </xf>
    <xf numFmtId="0" fontId="57" fillId="36" borderId="269" xfId="0" applyFont="1" applyFill="1" applyBorder="1" applyAlignment="1">
      <alignment horizontal="left" vertical="center"/>
    </xf>
    <xf numFmtId="0" fontId="57" fillId="0" borderId="271" xfId="0" applyFont="1" applyFill="1" applyBorder="1" applyAlignment="1">
      <alignment vertical="center" shrinkToFit="1"/>
    </xf>
    <xf numFmtId="0" fontId="57" fillId="0" borderId="272" xfId="0" applyFont="1" applyFill="1" applyBorder="1" applyAlignment="1">
      <alignment vertical="center" shrinkToFit="1"/>
    </xf>
    <xf numFmtId="0" fontId="17" fillId="0" borderId="231" xfId="0" applyFont="1" applyFill="1" applyBorder="1" applyAlignment="1">
      <alignment horizontal="center" vertical="center" wrapText="1"/>
    </xf>
    <xf numFmtId="0" fontId="17" fillId="0" borderId="89" xfId="0" applyFont="1" applyFill="1" applyBorder="1" applyAlignment="1">
      <alignment horizontal="center" vertical="center" wrapText="1"/>
    </xf>
    <xf numFmtId="0" fontId="44" fillId="0" borderId="283" xfId="0" applyFont="1" applyFill="1" applyBorder="1" applyAlignment="1">
      <alignment horizontal="left" shrinkToFit="1"/>
    </xf>
    <xf numFmtId="0" fontId="44" fillId="0" borderId="258" xfId="0" applyFont="1" applyFill="1" applyBorder="1" applyAlignment="1">
      <alignment horizontal="left" shrinkToFit="1"/>
    </xf>
    <xf numFmtId="0" fontId="44" fillId="0" borderId="285" xfId="0" applyFont="1" applyFill="1" applyBorder="1" applyAlignment="1">
      <alignment horizontal="left" shrinkToFit="1"/>
    </xf>
    <xf numFmtId="0" fontId="4" fillId="0" borderId="286" xfId="0" applyFont="1" applyFill="1" applyBorder="1" applyAlignment="1">
      <alignment horizontal="center" shrinkToFit="1"/>
    </xf>
    <xf numFmtId="0" fontId="4" fillId="0" borderId="149" xfId="0" applyFont="1" applyFill="1" applyBorder="1" applyAlignment="1">
      <alignment horizontal="center" shrinkToFit="1"/>
    </xf>
    <xf numFmtId="0" fontId="4" fillId="0" borderId="260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/>
    </xf>
    <xf numFmtId="0" fontId="4" fillId="0" borderId="287" xfId="0" applyFont="1" applyFill="1" applyBorder="1" applyAlignment="1">
      <alignment horizontal="center" shrinkToFit="1"/>
    </xf>
    <xf numFmtId="0" fontId="4" fillId="0" borderId="224" xfId="0" applyFont="1" applyFill="1" applyBorder="1" applyAlignment="1">
      <alignment horizontal="center" wrapText="1"/>
    </xf>
    <xf numFmtId="0" fontId="4" fillId="0" borderId="225" xfId="0" applyFont="1" applyFill="1" applyBorder="1" applyAlignment="1">
      <alignment horizontal="center" wrapText="1"/>
    </xf>
    <xf numFmtId="0" fontId="4" fillId="0" borderId="229" xfId="0" applyFont="1" applyFill="1" applyBorder="1" applyAlignment="1">
      <alignment horizontal="center" wrapText="1"/>
    </xf>
    <xf numFmtId="0" fontId="4" fillId="0" borderId="283" xfId="0" applyFont="1" applyFill="1" applyBorder="1" applyAlignment="1">
      <alignment horizontal="center" wrapText="1"/>
    </xf>
    <xf numFmtId="0" fontId="4" fillId="0" borderId="258" xfId="0" applyFont="1" applyFill="1" applyBorder="1" applyAlignment="1">
      <alignment horizontal="center" wrapText="1"/>
    </xf>
    <xf numFmtId="0" fontId="4" fillId="0" borderId="285" xfId="0" applyFont="1" applyFill="1" applyBorder="1" applyAlignment="1">
      <alignment horizontal="center" wrapText="1"/>
    </xf>
    <xf numFmtId="0" fontId="17" fillId="0" borderId="176" xfId="0" applyFont="1" applyFill="1" applyBorder="1" applyAlignment="1">
      <alignment horizontal="left" shrinkToFit="1"/>
    </xf>
    <xf numFmtId="0" fontId="17" fillId="0" borderId="203" xfId="0" applyFont="1" applyFill="1" applyBorder="1" applyAlignment="1">
      <alignment horizontal="left" shrinkToFit="1"/>
    </xf>
    <xf numFmtId="38" fontId="9" fillId="0" borderId="83" xfId="0" applyNumberFormat="1" applyFont="1" applyFill="1" applyBorder="1" applyAlignment="1">
      <alignment horizontal="left"/>
    </xf>
    <xf numFmtId="38" fontId="9" fillId="0" borderId="233" xfId="0" applyNumberFormat="1" applyFont="1" applyFill="1" applyBorder="1" applyAlignment="1">
      <alignment horizontal="left"/>
    </xf>
    <xf numFmtId="0" fontId="44" fillId="0" borderId="283" xfId="0" applyFont="1" applyFill="1" applyBorder="1" applyAlignment="1">
      <alignment horizontal="left"/>
    </xf>
    <xf numFmtId="0" fontId="44" fillId="0" borderId="258" xfId="0" applyFont="1" applyFill="1" applyBorder="1" applyAlignment="1">
      <alignment horizontal="left"/>
    </xf>
    <xf numFmtId="0" fontId="44" fillId="0" borderId="285" xfId="0" applyFont="1" applyFill="1" applyBorder="1" applyAlignment="1">
      <alignment horizontal="left"/>
    </xf>
    <xf numFmtId="38" fontId="9" fillId="0" borderId="86" xfId="0" applyNumberFormat="1" applyFont="1" applyFill="1" applyBorder="1" applyAlignment="1">
      <alignment horizontal="left"/>
    </xf>
    <xf numFmtId="38" fontId="9" fillId="0" borderId="203" xfId="0" applyNumberFormat="1" applyFont="1" applyFill="1" applyBorder="1" applyAlignment="1">
      <alignment horizontal="left"/>
    </xf>
    <xf numFmtId="0" fontId="4" fillId="0" borderId="286" xfId="0" applyFont="1" applyFill="1" applyBorder="1" applyAlignment="1">
      <alignment horizontal="center"/>
    </xf>
    <xf numFmtId="0" fontId="28" fillId="0" borderId="120" xfId="0" applyFont="1" applyFill="1" applyBorder="1" applyAlignment="1">
      <alignment horizontal="center" vertical="center" textRotation="255" wrapText="1"/>
    </xf>
    <xf numFmtId="0" fontId="28" fillId="0" borderId="95" xfId="0" applyFont="1" applyFill="1" applyBorder="1" applyAlignment="1">
      <alignment horizontal="center" vertical="center" textRotation="255" wrapText="1"/>
    </xf>
    <xf numFmtId="0" fontId="4" fillId="0" borderId="144" xfId="0" applyFont="1" applyFill="1" applyBorder="1" applyAlignment="1">
      <alignment horizontal="left" vertical="center"/>
    </xf>
    <xf numFmtId="0" fontId="4" fillId="0" borderId="142" xfId="0" applyFont="1" applyFill="1" applyBorder="1" applyAlignment="1">
      <alignment horizontal="left" vertical="center"/>
    </xf>
    <xf numFmtId="0" fontId="4" fillId="0" borderId="140" xfId="0" applyFont="1" applyFill="1" applyBorder="1" applyAlignment="1">
      <alignment horizontal="left" vertical="center"/>
    </xf>
    <xf numFmtId="0" fontId="4" fillId="0" borderId="126" xfId="0" applyFont="1" applyFill="1" applyBorder="1" applyAlignment="1">
      <alignment horizontal="left" vertical="center"/>
    </xf>
    <xf numFmtId="0" fontId="4" fillId="0" borderId="127" xfId="0" applyFont="1" applyFill="1" applyBorder="1" applyAlignment="1">
      <alignment horizontal="left" vertical="center"/>
    </xf>
    <xf numFmtId="0" fontId="4" fillId="0" borderId="128" xfId="0" applyFont="1" applyFill="1" applyBorder="1" applyAlignment="1">
      <alignment horizontal="left" vertical="center"/>
    </xf>
    <xf numFmtId="0" fontId="4" fillId="0" borderId="298" xfId="0" applyFont="1" applyFill="1" applyBorder="1" applyAlignment="1">
      <alignment vertical="center" wrapText="1"/>
    </xf>
    <xf numFmtId="0" fontId="4" fillId="0" borderId="256" xfId="0" applyFont="1" applyFill="1" applyBorder="1" applyAlignment="1">
      <alignment vertical="center" wrapText="1"/>
    </xf>
    <xf numFmtId="0" fontId="4" fillId="0" borderId="155" xfId="0" applyFont="1" applyFill="1" applyBorder="1" applyAlignment="1">
      <alignment vertical="center" wrapText="1"/>
    </xf>
    <xf numFmtId="0" fontId="60" fillId="0" borderId="201" xfId="0" applyFont="1" applyFill="1" applyBorder="1" applyAlignment="1">
      <alignment vertical="center" wrapText="1"/>
    </xf>
    <xf numFmtId="0" fontId="60" fillId="0" borderId="228" xfId="0" applyFont="1" applyFill="1" applyBorder="1" applyAlignment="1">
      <alignment vertical="center" wrapText="1"/>
    </xf>
    <xf numFmtId="0" fontId="60" fillId="0" borderId="156" xfId="0" applyFont="1" applyFill="1" applyBorder="1" applyAlignment="1">
      <alignment vertical="center" wrapText="1"/>
    </xf>
    <xf numFmtId="0" fontId="4" fillId="0" borderId="169" xfId="0" applyFont="1" applyFill="1" applyBorder="1" applyAlignment="1">
      <alignment vertical="center"/>
    </xf>
    <xf numFmtId="0" fontId="4" fillId="0" borderId="96" xfId="0" applyFont="1" applyFill="1" applyBorder="1" applyAlignment="1">
      <alignment vertical="center"/>
    </xf>
    <xf numFmtId="0" fontId="28" fillId="0" borderId="89" xfId="0" applyFont="1" applyFill="1" applyBorder="1" applyAlignment="1">
      <alignment horizontal="center" vertical="center" textRotation="255" wrapText="1"/>
    </xf>
    <xf numFmtId="0" fontId="4" fillId="0" borderId="126" xfId="0" applyFont="1" applyFill="1" applyBorder="1" applyAlignment="1">
      <alignment horizontal="center" vertical="center"/>
    </xf>
    <xf numFmtId="0" fontId="4" fillId="0" borderId="127" xfId="0" applyFont="1" applyFill="1" applyBorder="1" applyAlignment="1">
      <alignment horizontal="center" vertical="center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228" xfId="0" applyFont="1" applyFill="1" applyBorder="1" applyAlignment="1">
      <alignment horizontal="right"/>
    </xf>
    <xf numFmtId="0" fontId="54" fillId="0" borderId="115" xfId="0" applyFont="1" applyBorder="1" applyAlignment="1">
      <alignment horizontal="right" vertical="center" wrapText="1" shrinkToFit="1"/>
    </xf>
    <xf numFmtId="0" fontId="54" fillId="0" borderId="142" xfId="0" applyFont="1" applyBorder="1" applyAlignment="1">
      <alignment horizontal="right" vertical="center" wrapText="1" shrinkToFit="1"/>
    </xf>
    <xf numFmtId="0" fontId="54" fillId="0" borderId="140" xfId="0" applyFont="1" applyBorder="1" applyAlignment="1">
      <alignment horizontal="right" vertical="center" wrapText="1" shrinkToFit="1"/>
    </xf>
    <xf numFmtId="181" fontId="24" fillId="0" borderId="164" xfId="0" applyNumberFormat="1" applyFont="1" applyBorder="1" applyAlignment="1" applyProtection="1">
      <alignment horizontal="left" vertical="center" wrapText="1"/>
      <protection locked="0"/>
    </xf>
    <xf numFmtId="181" fontId="24" fillId="0" borderId="39" xfId="0" applyNumberFormat="1" applyFont="1" applyBorder="1" applyAlignment="1" applyProtection="1">
      <alignment horizontal="left" vertical="center" wrapText="1"/>
      <protection locked="0"/>
    </xf>
    <xf numFmtId="181" fontId="24" fillId="0" borderId="40" xfId="0" applyNumberFormat="1" applyFont="1" applyBorder="1" applyAlignment="1" applyProtection="1">
      <alignment horizontal="left" vertical="center" wrapText="1"/>
      <protection locked="0"/>
    </xf>
    <xf numFmtId="0" fontId="7" fillId="0" borderId="165" xfId="0" applyFont="1" applyBorder="1" applyAlignment="1" applyProtection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12" fillId="0" borderId="166" xfId="0" applyFont="1" applyBorder="1" applyAlignment="1" applyProtection="1">
      <alignment horizontal="center" vertical="center"/>
    </xf>
    <xf numFmtId="0" fontId="12" fillId="0" borderId="65" xfId="0" applyFont="1" applyBorder="1" applyAlignment="1" applyProtection="1">
      <alignment horizontal="center" vertical="center"/>
    </xf>
    <xf numFmtId="0" fontId="12" fillId="0" borderId="66" xfId="0" applyFont="1" applyBorder="1" applyAlignment="1" applyProtection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23" xfId="0" applyFont="1" applyBorder="1" applyAlignment="1">
      <alignment horizontal="center" vertical="center"/>
    </xf>
    <xf numFmtId="0" fontId="5" fillId="0" borderId="166" xfId="0" applyFont="1" applyBorder="1" applyAlignment="1" applyProtection="1">
      <alignment horizontal="center" vertical="center" wrapText="1"/>
    </xf>
    <xf numFmtId="0" fontId="5" fillId="0" borderId="65" xfId="0" applyFont="1" applyBorder="1" applyAlignment="1" applyProtection="1">
      <alignment horizontal="center" vertical="center" wrapText="1"/>
    </xf>
    <xf numFmtId="0" fontId="5" fillId="0" borderId="66" xfId="0" applyFont="1" applyBorder="1" applyAlignment="1" applyProtection="1">
      <alignment horizontal="center" vertical="center" wrapText="1"/>
    </xf>
    <xf numFmtId="0" fontId="23" fillId="0" borderId="177" xfId="0" applyFont="1" applyBorder="1" applyAlignment="1">
      <alignment horizontal="center" vertical="center" shrinkToFit="1"/>
    </xf>
    <xf numFmtId="0" fontId="23" fillId="0" borderId="178" xfId="0" applyFont="1" applyBorder="1" applyAlignment="1">
      <alignment horizontal="center" vertical="center" shrinkToFit="1"/>
    </xf>
    <xf numFmtId="0" fontId="23" fillId="0" borderId="90" xfId="0" applyFont="1" applyBorder="1" applyAlignment="1">
      <alignment horizontal="center" vertical="center" shrinkToFit="1"/>
    </xf>
    <xf numFmtId="0" fontId="23" fillId="0" borderId="177" xfId="0" applyFont="1" applyBorder="1" applyAlignment="1">
      <alignment horizontal="center" shrinkToFit="1"/>
    </xf>
    <xf numFmtId="0" fontId="23" fillId="0" borderId="178" xfId="0" applyFont="1" applyBorder="1" applyAlignment="1">
      <alignment horizontal="center" shrinkToFit="1"/>
    </xf>
    <xf numFmtId="0" fontId="0" fillId="0" borderId="178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178" xfId="0" applyBorder="1" applyAlignment="1">
      <alignment shrinkToFit="1"/>
    </xf>
    <xf numFmtId="0" fontId="0" fillId="0" borderId="90" xfId="0" applyBorder="1" applyAlignment="1">
      <alignment shrinkToFit="1"/>
    </xf>
    <xf numFmtId="0" fontId="23" fillId="11" borderId="175" xfId="0" applyFont="1" applyFill="1" applyBorder="1" applyAlignment="1">
      <alignment horizontal="center" vertical="center" shrinkToFit="1"/>
    </xf>
    <xf numFmtId="0" fontId="23" fillId="11" borderId="176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23" fillId="11" borderId="174" xfId="0" applyFont="1" applyFill="1" applyBorder="1" applyAlignment="1">
      <alignment horizontal="center" vertical="center"/>
    </xf>
    <xf numFmtId="0" fontId="23" fillId="11" borderId="141" xfId="0" applyFont="1" applyFill="1" applyBorder="1" applyAlignment="1">
      <alignment horizontal="center" vertical="center"/>
    </xf>
    <xf numFmtId="0" fontId="23" fillId="11" borderId="97" xfId="0" applyFont="1" applyFill="1" applyBorder="1" applyAlignment="1">
      <alignment horizontal="center" vertical="center"/>
    </xf>
    <xf numFmtId="0" fontId="23" fillId="11" borderId="174" xfId="0" applyFont="1" applyFill="1" applyBorder="1" applyAlignment="1">
      <alignment horizontal="center" vertical="center" shrinkToFit="1"/>
    </xf>
    <xf numFmtId="0" fontId="23" fillId="11" borderId="141" xfId="0" applyFont="1" applyFill="1" applyBorder="1" applyAlignment="1">
      <alignment horizontal="center" vertical="center" shrinkToFit="1"/>
    </xf>
    <xf numFmtId="0" fontId="23" fillId="11" borderId="97" xfId="0" applyFont="1" applyFill="1" applyBorder="1" applyAlignment="1">
      <alignment horizontal="center" vertical="center" shrinkToFit="1"/>
    </xf>
    <xf numFmtId="0" fontId="23" fillId="11" borderId="115" xfId="0" applyFont="1" applyFill="1" applyBorder="1" applyAlignment="1">
      <alignment horizontal="center" vertical="center"/>
    </xf>
    <xf numFmtId="0" fontId="23" fillId="11" borderId="142" xfId="0" applyFont="1" applyFill="1" applyBorder="1" applyAlignment="1">
      <alignment horizontal="center" vertical="center"/>
    </xf>
    <xf numFmtId="0" fontId="23" fillId="11" borderId="91" xfId="0" applyFont="1" applyFill="1" applyBorder="1" applyAlignment="1">
      <alignment horizontal="center" vertical="center"/>
    </xf>
    <xf numFmtId="0" fontId="23" fillId="11" borderId="115" xfId="0" applyFont="1" applyFill="1" applyBorder="1" applyAlignment="1">
      <alignment horizontal="center" vertical="center" shrinkToFit="1"/>
    </xf>
    <xf numFmtId="0" fontId="23" fillId="11" borderId="142" xfId="0" applyFont="1" applyFill="1" applyBorder="1" applyAlignment="1">
      <alignment horizontal="center" vertical="center" shrinkToFit="1"/>
    </xf>
    <xf numFmtId="0" fontId="23" fillId="11" borderId="91" xfId="0" applyFont="1" applyFill="1" applyBorder="1" applyAlignment="1">
      <alignment horizontal="center" vertical="center" shrinkToFit="1"/>
    </xf>
    <xf numFmtId="0" fontId="21" fillId="0" borderId="157" xfId="0" applyFont="1" applyBorder="1" applyAlignment="1" applyProtection="1">
      <alignment horizontal="center" vertical="center"/>
      <protection locked="0"/>
    </xf>
    <xf numFmtId="179" fontId="17" fillId="0" borderId="167" xfId="0" applyNumberFormat="1" applyFont="1" applyBorder="1" applyAlignment="1" applyProtection="1">
      <alignment horizontal="center" vertical="center" shrinkToFit="1"/>
      <protection locked="0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179" fontId="17" fillId="0" borderId="168" xfId="0" applyNumberFormat="1" applyFont="1" applyBorder="1" applyAlignment="1" applyProtection="1">
      <alignment horizontal="center" vertical="center" shrinkToFit="1"/>
      <protection locked="0"/>
    </xf>
    <xf numFmtId="179" fontId="17" fillId="0" borderId="171" xfId="0" applyNumberFormat="1" applyFont="1" applyBorder="1" applyAlignment="1">
      <alignment horizontal="center" vertical="center" shrinkToFit="1"/>
    </xf>
    <xf numFmtId="179" fontId="17" fillId="0" borderId="172" xfId="0" applyNumberFormat="1" applyFont="1" applyBorder="1" applyAlignment="1">
      <alignment horizontal="center" vertical="center" shrinkToFit="1"/>
    </xf>
    <xf numFmtId="0" fontId="21" fillId="0" borderId="0" xfId="0" applyFont="1" applyAlignment="1" applyProtection="1">
      <alignment horizontal="center" vertical="center"/>
      <protection locked="0"/>
    </xf>
    <xf numFmtId="179" fontId="17" fillId="0" borderId="171" xfId="0" applyNumberFormat="1" applyFont="1" applyBorder="1" applyAlignment="1" applyProtection="1">
      <alignment horizontal="center" vertical="center" shrinkToFit="1"/>
      <protection locked="0"/>
    </xf>
    <xf numFmtId="179" fontId="17" fillId="0" borderId="173" xfId="0" applyNumberFormat="1" applyFont="1" applyBorder="1" applyAlignment="1" applyProtection="1">
      <alignment horizontal="center" vertical="center" shrinkToFit="1"/>
      <protection locked="0"/>
    </xf>
    <xf numFmtId="179" fontId="17" fillId="0" borderId="112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0" fontId="21" fillId="9" borderId="157" xfId="0" applyFont="1" applyFill="1" applyBorder="1" applyAlignment="1" applyProtection="1">
      <alignment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0" fontId="17" fillId="0" borderId="171" xfId="0" applyFont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9" fontId="17" fillId="10" borderId="169" xfId="0" applyNumberFormat="1" applyFont="1" applyFill="1" applyBorder="1" applyAlignment="1" applyProtection="1">
      <alignment horizontal="center" vertical="center" shrinkToFit="1"/>
      <protection locked="0"/>
    </xf>
    <xf numFmtId="9" fontId="0" fillId="10" borderId="139" xfId="0" applyNumberFormat="1" applyFill="1" applyBorder="1" applyAlignment="1">
      <alignment horizontal="center" vertical="center" shrinkToFit="1"/>
    </xf>
    <xf numFmtId="178" fontId="17" fillId="0" borderId="170" xfId="0" applyNumberFormat="1" applyFont="1" applyBorder="1" applyAlignment="1" applyProtection="1">
      <alignment horizontal="left" vertical="center" shrinkToFit="1"/>
      <protection locked="0"/>
    </xf>
    <xf numFmtId="178" fontId="17" fillId="0" borderId="127" xfId="0" applyNumberFormat="1" applyFont="1" applyBorder="1" applyAlignment="1" applyProtection="1">
      <alignment horizontal="left" vertical="center" shrinkToFit="1"/>
      <protection locked="0"/>
    </xf>
    <xf numFmtId="178" fontId="17" fillId="0" borderId="147" xfId="0" applyNumberFormat="1" applyFont="1" applyBorder="1" applyAlignment="1" applyProtection="1">
      <alignment horizontal="left" vertical="center" shrinkToFit="1"/>
      <protection locked="0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0" fontId="69" fillId="0" borderId="0" xfId="0" applyFont="1" applyFill="1" applyBorder="1" applyAlignment="1">
      <alignment horizontal="distributed" vertical="center"/>
    </xf>
    <xf numFmtId="0" fontId="70" fillId="0" borderId="0" xfId="0" applyFont="1" applyAlignment="1">
      <alignment vertical="center"/>
    </xf>
    <xf numFmtId="0" fontId="52" fillId="0" borderId="225" xfId="0" applyFont="1" applyFill="1" applyBorder="1" applyAlignment="1">
      <alignment horizontal="distributed" vertical="center"/>
    </xf>
    <xf numFmtId="0" fontId="71" fillId="0" borderId="225" xfId="0" applyFont="1" applyBorder="1" applyAlignment="1">
      <alignment vertical="center"/>
    </xf>
    <xf numFmtId="0" fontId="52" fillId="0" borderId="139" xfId="0" applyFont="1" applyFill="1" applyBorder="1" applyAlignment="1">
      <alignment horizontal="distributed" vertical="center"/>
    </xf>
    <xf numFmtId="0" fontId="71" fillId="0" borderId="139" xfId="0" applyFont="1" applyBorder="1" applyAlignment="1">
      <alignment vertical="center"/>
    </xf>
    <xf numFmtId="0" fontId="71" fillId="0" borderId="15" xfId="0" applyFont="1" applyBorder="1" applyAlignment="1">
      <alignment vertical="center"/>
    </xf>
    <xf numFmtId="0" fontId="9" fillId="28" borderId="231" xfId="0" applyFont="1" applyFill="1" applyBorder="1" applyAlignment="1">
      <alignment horizontal="center" vertical="center" textRotation="255"/>
    </xf>
    <xf numFmtId="0" fontId="9" fillId="28" borderId="95" xfId="0" applyFont="1" applyFill="1" applyBorder="1" applyAlignment="1">
      <alignment horizontal="center" vertical="center" textRotation="255"/>
    </xf>
    <xf numFmtId="0" fontId="9" fillId="28" borderId="120" xfId="0" applyFont="1" applyFill="1" applyBorder="1" applyAlignment="1">
      <alignment horizontal="center" vertical="center" textRotation="255"/>
    </xf>
    <xf numFmtId="0" fontId="9" fillId="28" borderId="121" xfId="0" applyFont="1" applyFill="1" applyBorder="1" applyAlignment="1">
      <alignment horizontal="center" vertical="center" textRotation="255"/>
    </xf>
    <xf numFmtId="0" fontId="52" fillId="0" borderId="12" xfId="0" applyFont="1" applyFill="1" applyBorder="1" applyAlignment="1">
      <alignment horizontal="left" vertical="center" shrinkToFit="1"/>
    </xf>
    <xf numFmtId="0" fontId="52" fillId="0" borderId="286" xfId="0" applyFont="1" applyFill="1" applyBorder="1" applyAlignment="1">
      <alignment horizontal="left" vertical="center" shrinkToFit="1"/>
    </xf>
    <xf numFmtId="0" fontId="24" fillId="28" borderId="120" xfId="0" applyFont="1" applyFill="1" applyBorder="1" applyAlignment="1">
      <alignment horizontal="center" vertical="center" wrapText="1" shrinkToFit="1"/>
    </xf>
    <xf numFmtId="0" fontId="0" fillId="0" borderId="95" xfId="0" applyBorder="1" applyAlignment="1">
      <alignment horizontal="center" vertical="center" wrapText="1" shrinkToFit="1"/>
    </xf>
    <xf numFmtId="0" fontId="9" fillId="28" borderId="286" xfId="0" applyFont="1" applyFill="1" applyBorder="1" applyAlignment="1">
      <alignment horizontal="center"/>
    </xf>
    <xf numFmtId="0" fontId="9" fillId="28" borderId="149" xfId="0" applyFont="1" applyFill="1" applyBorder="1" applyAlignment="1">
      <alignment horizontal="center"/>
    </xf>
    <xf numFmtId="0" fontId="9" fillId="28" borderId="260" xfId="0" applyFont="1" applyFill="1" applyBorder="1" applyAlignment="1">
      <alignment horizontal="center"/>
    </xf>
    <xf numFmtId="0" fontId="9" fillId="28" borderId="89" xfId="0" applyFont="1" applyFill="1" applyBorder="1" applyAlignment="1">
      <alignment horizontal="center" vertical="center" textRotation="255"/>
    </xf>
    <xf numFmtId="0" fontId="72" fillId="0" borderId="86" xfId="0" applyFont="1" applyBorder="1" applyAlignment="1">
      <alignment horizontal="left" vertical="center"/>
    </xf>
    <xf numFmtId="0" fontId="0" fillId="0" borderId="203" xfId="0" applyBorder="1" applyAlignment="1">
      <alignment horizontal="left" vertical="center"/>
    </xf>
    <xf numFmtId="0" fontId="24" fillId="0" borderId="307" xfId="0" applyFont="1" applyFill="1" applyBorder="1" applyAlignment="1">
      <alignment vertical="center" shrinkToFit="1"/>
    </xf>
    <xf numFmtId="0" fontId="24" fillId="0" borderId="229" xfId="0" applyFont="1" applyFill="1" applyBorder="1" applyAlignment="1">
      <alignment vertical="center" shrinkToFit="1"/>
    </xf>
    <xf numFmtId="0" fontId="57" fillId="0" borderId="86" xfId="0" applyFont="1" applyFill="1" applyBorder="1" applyAlignment="1">
      <alignment horizontal="left" vertical="center" shrinkToFit="1"/>
    </xf>
    <xf numFmtId="0" fontId="0" fillId="0" borderId="203" xfId="0" applyBorder="1" applyAlignment="1">
      <alignment horizontal="left" vertical="center" shrinkToFit="1"/>
    </xf>
    <xf numFmtId="0" fontId="17" fillId="0" borderId="231" xfId="0" applyFont="1" applyBorder="1" applyAlignment="1">
      <alignment horizontal="center" vertical="center" textRotation="255"/>
    </xf>
    <xf numFmtId="0" fontId="17" fillId="0" borderId="284" xfId="0" applyFont="1" applyBorder="1" applyAlignment="1">
      <alignment horizontal="center" vertical="center" textRotation="255"/>
    </xf>
    <xf numFmtId="0" fontId="17" fillId="0" borderId="89" xfId="0" applyFont="1" applyBorder="1" applyAlignment="1">
      <alignment horizontal="center" vertical="center" textRotation="255"/>
    </xf>
    <xf numFmtId="38" fontId="9" fillId="0" borderId="82" xfId="0" applyNumberFormat="1" applyFont="1" applyFill="1" applyBorder="1" applyAlignment="1">
      <alignment horizontal="left"/>
    </xf>
    <xf numFmtId="0" fontId="11" fillId="0" borderId="309" xfId="0" applyFont="1" applyFill="1" applyBorder="1" applyAlignment="1">
      <alignment horizontal="left"/>
    </xf>
    <xf numFmtId="0" fontId="11" fillId="0" borderId="283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left"/>
    </xf>
    <xf numFmtId="0" fontId="9" fillId="0" borderId="231" xfId="0" applyFont="1" applyFill="1" applyBorder="1" applyAlignment="1">
      <alignment horizontal="center" vertical="center" wrapText="1"/>
    </xf>
    <xf numFmtId="0" fontId="9" fillId="0" borderId="89" xfId="0" applyFont="1" applyFill="1" applyBorder="1" applyAlignment="1">
      <alignment horizontal="center" vertical="center" wrapText="1"/>
    </xf>
    <xf numFmtId="0" fontId="11" fillId="0" borderId="283" xfId="0" applyFont="1" applyFill="1" applyBorder="1" applyAlignment="1">
      <alignment horizontal="left" shrinkToFit="1"/>
    </xf>
    <xf numFmtId="0" fontId="11" fillId="0" borderId="258" xfId="0" applyFont="1" applyFill="1" applyBorder="1" applyAlignment="1">
      <alignment horizontal="left" shrinkToFit="1"/>
    </xf>
    <xf numFmtId="0" fontId="9" fillId="0" borderId="23" xfId="0" applyFont="1" applyFill="1" applyBorder="1" applyAlignment="1">
      <alignment horizontal="center" vertical="center" textRotation="255"/>
    </xf>
    <xf numFmtId="0" fontId="0" fillId="0" borderId="95" xfId="0" applyBorder="1" applyAlignment="1">
      <alignment horizontal="center" vertical="center" textRotation="255"/>
    </xf>
    <xf numFmtId="0" fontId="75" fillId="0" borderId="224" xfId="0" applyFont="1" applyFill="1" applyBorder="1" applyAlignment="1">
      <alignment horizontal="center" wrapText="1"/>
    </xf>
    <xf numFmtId="0" fontId="75" fillId="0" borderId="225" xfId="0" applyFont="1" applyFill="1" applyBorder="1" applyAlignment="1">
      <alignment horizontal="center" wrapText="1"/>
    </xf>
    <xf numFmtId="0" fontId="10" fillId="0" borderId="283" xfId="0" applyFont="1" applyFill="1" applyBorder="1" applyAlignment="1">
      <alignment horizontal="center" wrapText="1"/>
    </xf>
    <xf numFmtId="0" fontId="10" fillId="0" borderId="258" xfId="0" applyFont="1" applyFill="1" applyBorder="1" applyAlignment="1">
      <alignment horizontal="center" wrapText="1"/>
    </xf>
    <xf numFmtId="0" fontId="9" fillId="0" borderId="224" xfId="0" applyFont="1" applyFill="1" applyBorder="1" applyAlignment="1">
      <alignment horizontal="center"/>
    </xf>
    <xf numFmtId="0" fontId="9" fillId="0" borderId="226" xfId="0" applyFont="1" applyFill="1" applyBorder="1" applyAlignment="1">
      <alignment horizontal="center"/>
    </xf>
    <xf numFmtId="0" fontId="9" fillId="0" borderId="120" xfId="0" applyFont="1" applyFill="1" applyBorder="1" applyAlignment="1">
      <alignment horizontal="center" vertical="center" textRotation="255"/>
    </xf>
    <xf numFmtId="0" fontId="9" fillId="0" borderId="95" xfId="0" applyFont="1" applyFill="1" applyBorder="1" applyAlignment="1">
      <alignment horizontal="center" vertical="center" textRotation="255"/>
    </xf>
    <xf numFmtId="0" fontId="11" fillId="0" borderId="260" xfId="0" applyFont="1" applyFill="1" applyBorder="1" applyAlignment="1">
      <alignment horizontal="left"/>
    </xf>
    <xf numFmtId="0" fontId="4" fillId="25" borderId="126" xfId="0" applyFont="1" applyFill="1" applyBorder="1" applyAlignment="1">
      <alignment horizontal="center" vertical="center"/>
    </xf>
    <xf numFmtId="0" fontId="0" fillId="25" borderId="127" xfId="0" applyFont="1" applyFill="1" applyBorder="1" applyAlignment="1">
      <alignment horizontal="center" vertical="center"/>
    </xf>
    <xf numFmtId="0" fontId="9" fillId="0" borderId="85" xfId="0" applyFont="1" applyFill="1" applyBorder="1" applyAlignment="1">
      <alignment horizontal="center" vertical="center" textRotation="255"/>
    </xf>
    <xf numFmtId="0" fontId="0" fillId="0" borderId="96" xfId="0" applyFont="1" applyFill="1" applyBorder="1" applyAlignment="1">
      <alignment vertical="center"/>
    </xf>
    <xf numFmtId="0" fontId="0" fillId="25" borderId="157" xfId="0" applyFont="1" applyFill="1" applyBorder="1" applyAlignment="1">
      <alignment horizontal="center" vertical="center"/>
    </xf>
    <xf numFmtId="0" fontId="4" fillId="16" borderId="126" xfId="0" applyFont="1" applyFill="1" applyBorder="1" applyAlignment="1">
      <alignment horizontal="center" vertical="center"/>
    </xf>
    <xf numFmtId="0" fontId="0" fillId="16" borderId="127" xfId="0" applyFont="1" applyFill="1" applyBorder="1" applyAlignment="1">
      <alignment horizontal="center" vertical="center"/>
    </xf>
    <xf numFmtId="0" fontId="9" fillId="28" borderId="23" xfId="0" applyFont="1" applyFill="1" applyBorder="1" applyAlignment="1">
      <alignment horizontal="center" vertical="center" textRotation="255"/>
    </xf>
    <xf numFmtId="0" fontId="9" fillId="28" borderId="85" xfId="0" applyFont="1" applyFill="1" applyBorder="1" applyAlignment="1">
      <alignment horizontal="center" vertical="center" textRotation="255"/>
    </xf>
    <xf numFmtId="0" fontId="90" fillId="0" borderId="178" xfId="0" applyFont="1" applyBorder="1" applyAlignment="1">
      <alignment horizontal="right" vertical="center"/>
    </xf>
    <xf numFmtId="0" fontId="90" fillId="0" borderId="233" xfId="0" applyFont="1" applyBorder="1" applyAlignment="1">
      <alignment horizontal="right" vertical="center"/>
    </xf>
    <xf numFmtId="0" fontId="90" fillId="0" borderId="174" xfId="0" applyFont="1" applyBorder="1" applyAlignment="1">
      <alignment horizontal="right" vertical="center" wrapText="1" shrinkToFit="1"/>
    </xf>
    <xf numFmtId="0" fontId="90" fillId="0" borderId="141" xfId="0" applyFont="1" applyBorder="1" applyAlignment="1">
      <alignment horizontal="right" vertical="center" wrapText="1" shrinkToFit="1"/>
    </xf>
    <xf numFmtId="0" fontId="90" fillId="0" borderId="156" xfId="0" applyFont="1" applyBorder="1" applyAlignment="1">
      <alignment horizontal="right" vertical="center" wrapText="1" shrinkToFit="1"/>
    </xf>
    <xf numFmtId="0" fontId="90" fillId="0" borderId="175" xfId="0" applyFont="1" applyBorder="1" applyAlignment="1">
      <alignment horizontal="right" vertical="center" wrapText="1" shrinkToFit="1"/>
    </xf>
    <xf numFmtId="0" fontId="90" fillId="0" borderId="176" xfId="0" applyFont="1" applyBorder="1" applyAlignment="1">
      <alignment horizontal="right" vertical="center" wrapText="1" shrinkToFit="1"/>
    </xf>
    <xf numFmtId="0" fontId="90" fillId="0" borderId="203" xfId="0" applyFont="1" applyBorder="1" applyAlignment="1">
      <alignment horizontal="right" vertical="center" wrapText="1" shrinkToFit="1"/>
    </xf>
    <xf numFmtId="0" fontId="77" fillId="28" borderId="231" xfId="0" applyFont="1" applyFill="1" applyBorder="1" applyAlignment="1">
      <alignment horizontal="center" vertical="center" textRotation="255"/>
    </xf>
    <xf numFmtId="0" fontId="77" fillId="28" borderId="121" xfId="0" applyFont="1" applyFill="1" applyBorder="1" applyAlignment="1">
      <alignment horizontal="center" vertical="center" textRotation="255"/>
    </xf>
    <xf numFmtId="0" fontId="77" fillId="28" borderId="89" xfId="0" applyFont="1" applyFill="1" applyBorder="1" applyAlignment="1">
      <alignment horizontal="center" vertical="center" textRotation="255"/>
    </xf>
    <xf numFmtId="0" fontId="83" fillId="0" borderId="0" xfId="0" applyFont="1" applyFill="1" applyBorder="1" applyAlignment="1">
      <alignment horizontal="distributed" vertical="center"/>
    </xf>
    <xf numFmtId="0" fontId="84" fillId="0" borderId="0" xfId="0" applyFont="1" applyAlignment="1">
      <alignment vertical="center"/>
    </xf>
    <xf numFmtId="0" fontId="87" fillId="0" borderId="225" xfId="0" applyFont="1" applyFill="1" applyBorder="1" applyAlignment="1">
      <alignment horizontal="distributed" vertical="center"/>
    </xf>
    <xf numFmtId="0" fontId="88" fillId="0" borderId="225" xfId="0" applyFont="1" applyBorder="1" applyAlignment="1">
      <alignment vertical="center"/>
    </xf>
    <xf numFmtId="0" fontId="87" fillId="0" borderId="139" xfId="0" applyFont="1" applyFill="1" applyBorder="1" applyAlignment="1">
      <alignment horizontal="distributed" vertical="center"/>
    </xf>
    <xf numFmtId="0" fontId="88" fillId="0" borderId="139" xfId="0" applyFont="1" applyBorder="1" applyAlignment="1">
      <alignment vertical="center"/>
    </xf>
    <xf numFmtId="0" fontId="87" fillId="0" borderId="15" xfId="0" applyFont="1" applyFill="1" applyBorder="1" applyAlignment="1">
      <alignment horizontal="distributed" vertical="center"/>
    </xf>
    <xf numFmtId="0" fontId="88" fillId="0" borderId="15" xfId="0" applyFont="1" applyBorder="1" applyAlignment="1">
      <alignment vertical="center"/>
    </xf>
    <xf numFmtId="0" fontId="86" fillId="0" borderId="178" xfId="0" applyFont="1" applyFill="1" applyBorder="1" applyAlignment="1">
      <alignment horizontal="right" vertical="center" shrinkToFit="1"/>
    </xf>
    <xf numFmtId="0" fontId="86" fillId="0" borderId="233" xfId="0" applyFont="1" applyFill="1" applyBorder="1" applyAlignment="1">
      <alignment horizontal="right" vertical="center" shrinkToFit="1"/>
    </xf>
    <xf numFmtId="0" fontId="86" fillId="0" borderId="176" xfId="0" applyFont="1" applyFill="1" applyBorder="1" applyAlignment="1">
      <alignment horizontal="right" vertical="center" shrinkToFit="1"/>
    </xf>
    <xf numFmtId="0" fontId="86" fillId="0" borderId="203" xfId="0" applyFont="1" applyFill="1" applyBorder="1" applyAlignment="1">
      <alignment horizontal="right" vertical="center" shrinkToFit="1"/>
    </xf>
    <xf numFmtId="0" fontId="92" fillId="0" borderId="149" xfId="0" applyFont="1" applyFill="1" applyBorder="1" applyAlignment="1">
      <alignment horizontal="center" vertical="center" shrinkToFit="1"/>
    </xf>
    <xf numFmtId="0" fontId="92" fillId="28" borderId="120" xfId="0" applyFont="1" applyFill="1" applyBorder="1" applyAlignment="1">
      <alignment horizontal="center" vertical="center" wrapText="1" shrinkToFit="1"/>
    </xf>
    <xf numFmtId="0" fontId="80" fillId="0" borderId="95" xfId="0" applyFont="1" applyBorder="1" applyAlignment="1">
      <alignment horizontal="center" vertical="center" wrapText="1" shrinkToFit="1"/>
    </xf>
    <xf numFmtId="0" fontId="92" fillId="0" borderId="52" xfId="0" applyFont="1" applyFill="1" applyBorder="1" applyAlignment="1">
      <alignment horizontal="left" vertical="center"/>
    </xf>
    <xf numFmtId="0" fontId="91" fillId="0" borderId="140" xfId="0" applyFont="1" applyBorder="1" applyAlignment="1">
      <alignment horizontal="left" vertical="center"/>
    </xf>
    <xf numFmtId="0" fontId="94" fillId="0" borderId="86" xfId="0" applyFont="1" applyBorder="1" applyAlignment="1">
      <alignment horizontal="left" vertical="center"/>
    </xf>
    <xf numFmtId="0" fontId="80" fillId="0" borderId="203" xfId="0" applyFont="1" applyBorder="1" applyAlignment="1">
      <alignment horizontal="left" vertical="center"/>
    </xf>
    <xf numFmtId="0" fontId="92" fillId="0" borderId="307" xfId="0" applyFont="1" applyFill="1" applyBorder="1" applyAlignment="1">
      <alignment vertical="center" shrinkToFit="1"/>
    </xf>
    <xf numFmtId="0" fontId="92" fillId="0" borderId="229" xfId="0" applyFont="1" applyFill="1" applyBorder="1" applyAlignment="1">
      <alignment vertical="center" shrinkToFit="1"/>
    </xf>
    <xf numFmtId="0" fontId="94" fillId="0" borderId="86" xfId="0" applyFont="1" applyFill="1" applyBorder="1" applyAlignment="1">
      <alignment horizontal="left" vertical="center" shrinkToFit="1"/>
    </xf>
    <xf numFmtId="0" fontId="80" fillId="0" borderId="203" xfId="0" applyFont="1" applyBorder="1" applyAlignment="1">
      <alignment horizontal="left" vertical="center" shrinkToFit="1"/>
    </xf>
    <xf numFmtId="0" fontId="87" fillId="0" borderId="12" xfId="0" applyFont="1" applyFill="1" applyBorder="1" applyAlignment="1">
      <alignment horizontal="left" vertical="center" shrinkToFit="1"/>
    </xf>
    <xf numFmtId="0" fontId="87" fillId="0" borderId="286" xfId="0" applyFont="1" applyFill="1" applyBorder="1" applyAlignment="1">
      <alignment horizontal="left" vertical="center" shrinkToFit="1"/>
    </xf>
    <xf numFmtId="0" fontId="91" fillId="0" borderId="231" xfId="0" applyFont="1" applyBorder="1" applyAlignment="1">
      <alignment horizontal="center" vertical="center" textRotation="255"/>
    </xf>
    <xf numFmtId="0" fontId="91" fillId="0" borderId="284" xfId="0" applyFont="1" applyBorder="1" applyAlignment="1">
      <alignment horizontal="center" vertical="center" textRotation="255"/>
    </xf>
    <xf numFmtId="0" fontId="91" fillId="0" borderId="89" xfId="0" applyFont="1" applyBorder="1" applyAlignment="1">
      <alignment horizontal="center" vertical="center" textRotation="255"/>
    </xf>
    <xf numFmtId="0" fontId="90" fillId="0" borderId="142" xfId="0" applyFont="1" applyBorder="1" applyAlignment="1">
      <alignment horizontal="right" vertical="center"/>
    </xf>
    <xf numFmtId="0" fontId="90" fillId="0" borderId="140" xfId="0" applyFont="1" applyBorder="1" applyAlignment="1">
      <alignment horizontal="right" vertical="center"/>
    </xf>
    <xf numFmtId="0" fontId="90" fillId="0" borderId="141" xfId="0" applyFont="1" applyBorder="1" applyAlignment="1">
      <alignment horizontal="right" vertical="center" shrinkToFit="1"/>
    </xf>
    <xf numFmtId="0" fontId="90" fillId="0" borderId="156" xfId="0" applyFont="1" applyBorder="1" applyAlignment="1">
      <alignment horizontal="right" vertical="center" shrinkToFit="1"/>
    </xf>
    <xf numFmtId="0" fontId="90" fillId="0" borderId="283" xfId="0" applyFont="1" applyBorder="1" applyAlignment="1">
      <alignment horizontal="right" vertical="center" wrapText="1" shrinkToFit="1"/>
    </xf>
    <xf numFmtId="0" fontId="90" fillId="0" borderId="258" xfId="0" applyFont="1" applyBorder="1" applyAlignment="1">
      <alignment horizontal="right" vertical="center" shrinkToFit="1"/>
    </xf>
    <xf numFmtId="0" fontId="90" fillId="0" borderId="285" xfId="0" applyFont="1" applyBorder="1" applyAlignment="1">
      <alignment horizontal="right" vertical="center" shrinkToFit="1"/>
    </xf>
    <xf numFmtId="0" fontId="77" fillId="28" borderId="224" xfId="0" applyFont="1" applyFill="1" applyBorder="1" applyAlignment="1">
      <alignment horizontal="center" vertical="center"/>
    </xf>
    <xf numFmtId="0" fontId="77" fillId="28" borderId="226" xfId="0" applyFont="1" applyFill="1" applyBorder="1" applyAlignment="1">
      <alignment horizontal="center" vertical="center"/>
    </xf>
    <xf numFmtId="0" fontId="77" fillId="28" borderId="283" xfId="0" applyFont="1" applyFill="1" applyBorder="1" applyAlignment="1">
      <alignment horizontal="center" vertical="center"/>
    </xf>
    <xf numFmtId="0" fontId="77" fillId="28" borderId="286" xfId="0" applyFont="1" applyFill="1" applyBorder="1" applyAlignment="1">
      <alignment horizontal="center" vertical="center" textRotation="255"/>
    </xf>
    <xf numFmtId="0" fontId="77" fillId="28" borderId="149" xfId="0" applyFont="1" applyFill="1" applyBorder="1" applyAlignment="1">
      <alignment horizontal="center" vertical="center" textRotation="255"/>
    </xf>
    <xf numFmtId="0" fontId="77" fillId="28" borderId="94" xfId="0" applyFont="1" applyFill="1" applyBorder="1" applyAlignment="1">
      <alignment horizontal="center" vertical="center" textRotation="255"/>
    </xf>
    <xf numFmtId="0" fontId="77" fillId="28" borderId="119" xfId="0" applyFont="1" applyFill="1" applyBorder="1" applyAlignment="1">
      <alignment horizontal="center" vertical="center" textRotation="255"/>
    </xf>
    <xf numFmtId="0" fontId="92" fillId="16" borderId="52" xfId="0" applyFont="1" applyFill="1" applyBorder="1" applyAlignment="1">
      <alignment horizontal="left" vertical="center" shrinkToFit="1"/>
    </xf>
    <xf numFmtId="0" fontId="92" fillId="16" borderId="142" xfId="0" applyFont="1" applyFill="1" applyBorder="1" applyAlignment="1">
      <alignment horizontal="left" vertical="center" shrinkToFit="1"/>
    </xf>
    <xf numFmtId="0" fontId="92" fillId="16" borderId="140" xfId="0" applyFont="1" applyFill="1" applyBorder="1" applyAlignment="1">
      <alignment horizontal="left" vertical="center" shrinkToFit="1"/>
    </xf>
    <xf numFmtId="0" fontId="82" fillId="0" borderId="231" xfId="0" applyFont="1" applyFill="1" applyBorder="1" applyAlignment="1">
      <alignment horizontal="center" vertical="center" wrapText="1"/>
    </xf>
    <xf numFmtId="0" fontId="82" fillId="0" borderId="89" xfId="0" applyFont="1" applyFill="1" applyBorder="1" applyAlignment="1">
      <alignment horizontal="center" vertical="center" wrapText="1"/>
    </xf>
    <xf numFmtId="0" fontId="103" fillId="0" borderId="309" xfId="0" applyFont="1" applyFill="1" applyBorder="1" applyAlignment="1">
      <alignment horizontal="left" vertical="center" shrinkToFit="1"/>
    </xf>
    <xf numFmtId="0" fontId="103" fillId="0" borderId="283" xfId="0" applyFont="1" applyFill="1" applyBorder="1" applyAlignment="1">
      <alignment horizontal="left" vertical="center" shrinkToFit="1"/>
    </xf>
    <xf numFmtId="0" fontId="82" fillId="0" borderId="286" xfId="0" applyFont="1" applyFill="1" applyBorder="1" applyAlignment="1">
      <alignment horizontal="center" vertical="center" shrinkToFit="1"/>
    </xf>
    <xf numFmtId="0" fontId="82" fillId="0" borderId="149" xfId="0" applyFont="1" applyFill="1" applyBorder="1" applyAlignment="1">
      <alignment horizontal="center" vertical="center" shrinkToFit="1"/>
    </xf>
    <xf numFmtId="0" fontId="82" fillId="0" borderId="287" xfId="0" applyFont="1" applyFill="1" applyBorder="1" applyAlignment="1">
      <alignment horizontal="center" vertical="center" shrinkToFit="1"/>
    </xf>
    <xf numFmtId="0" fontId="82" fillId="28" borderId="231" xfId="0" applyFont="1" applyFill="1" applyBorder="1" applyAlignment="1">
      <alignment horizontal="center" vertical="center" textRotation="255"/>
    </xf>
    <xf numFmtId="0" fontId="82" fillId="28" borderId="121" xfId="0" applyFont="1" applyFill="1" applyBorder="1" applyAlignment="1">
      <alignment horizontal="center" vertical="center" textRotation="255"/>
    </xf>
    <xf numFmtId="0" fontId="82" fillId="28" borderId="95" xfId="0" applyFont="1" applyFill="1" applyBorder="1" applyAlignment="1">
      <alignment horizontal="center" vertical="center" textRotation="255"/>
    </xf>
    <xf numFmtId="0" fontId="82" fillId="28" borderId="120" xfId="0" applyFont="1" applyFill="1" applyBorder="1" applyAlignment="1">
      <alignment horizontal="center" vertical="center" textRotation="255"/>
    </xf>
    <xf numFmtId="0" fontId="82" fillId="28" borderId="140" xfId="0" applyFont="1" applyFill="1" applyBorder="1" applyAlignment="1">
      <alignment horizontal="center" vertical="center" textRotation="255"/>
    </xf>
    <xf numFmtId="0" fontId="77" fillId="28" borderId="24" xfId="0" applyFont="1" applyFill="1" applyBorder="1" applyAlignment="1">
      <alignment horizontal="center" vertical="center" textRotation="255"/>
    </xf>
    <xf numFmtId="0" fontId="77" fillId="28" borderId="84" xfId="0" applyFont="1" applyFill="1" applyBorder="1" applyAlignment="1">
      <alignment horizontal="center" vertical="center" textRotation="255"/>
    </xf>
    <xf numFmtId="0" fontId="105" fillId="0" borderId="231" xfId="0" applyFont="1" applyFill="1" applyBorder="1" applyAlignment="1">
      <alignment horizontal="center" vertical="center" wrapText="1"/>
    </xf>
    <xf numFmtId="0" fontId="105" fillId="0" borderId="89" xfId="0" applyFont="1" applyFill="1" applyBorder="1" applyAlignment="1">
      <alignment horizontal="center" vertical="center" wrapText="1"/>
    </xf>
    <xf numFmtId="0" fontId="103" fillId="0" borderId="258" xfId="0" applyFont="1" applyFill="1" applyBorder="1" applyAlignment="1">
      <alignment horizontal="left" vertical="center" shrinkToFit="1"/>
    </xf>
    <xf numFmtId="0" fontId="82" fillId="0" borderId="260" xfId="0" applyFont="1" applyFill="1" applyBorder="1" applyAlignment="1">
      <alignment horizontal="center" vertical="center" shrinkToFit="1"/>
    </xf>
    <xf numFmtId="0" fontId="80" fillId="0" borderId="95" xfId="0" applyFont="1" applyBorder="1" applyAlignment="1">
      <alignment horizontal="center" vertical="center" textRotation="255"/>
    </xf>
    <xf numFmtId="38" fontId="77" fillId="0" borderId="82" xfId="0" applyNumberFormat="1" applyFont="1" applyFill="1" applyBorder="1" applyAlignment="1">
      <alignment horizontal="left" vertical="center"/>
    </xf>
    <xf numFmtId="0" fontId="89" fillId="0" borderId="309" xfId="0" applyFont="1" applyFill="1" applyBorder="1" applyAlignment="1">
      <alignment horizontal="left" vertical="center"/>
    </xf>
    <xf numFmtId="0" fontId="89" fillId="0" borderId="283" xfId="0" applyFont="1" applyFill="1" applyBorder="1" applyAlignment="1">
      <alignment horizontal="left" vertical="center"/>
    </xf>
    <xf numFmtId="38" fontId="77" fillId="0" borderId="85" xfId="0" applyNumberFormat="1" applyFont="1" applyFill="1" applyBorder="1" applyAlignment="1">
      <alignment horizontal="left" vertical="center"/>
    </xf>
    <xf numFmtId="0" fontId="77" fillId="0" borderId="231" xfId="0" applyFont="1" applyFill="1" applyBorder="1" applyAlignment="1">
      <alignment horizontal="center" vertical="center" wrapText="1"/>
    </xf>
    <xf numFmtId="0" fontId="77" fillId="0" borderId="89" xfId="0" applyFont="1" applyFill="1" applyBorder="1" applyAlignment="1">
      <alignment horizontal="center" vertical="center" wrapText="1"/>
    </xf>
    <xf numFmtId="0" fontId="89" fillId="0" borderId="283" xfId="0" applyFont="1" applyFill="1" applyBorder="1" applyAlignment="1">
      <alignment horizontal="left" vertical="center" shrinkToFit="1"/>
    </xf>
    <xf numFmtId="0" fontId="89" fillId="0" borderId="258" xfId="0" applyFont="1" applyFill="1" applyBorder="1" applyAlignment="1">
      <alignment horizontal="left" vertical="center" shrinkToFit="1"/>
    </xf>
    <xf numFmtId="0" fontId="77" fillId="28" borderId="95" xfId="0" applyFont="1" applyFill="1" applyBorder="1" applyAlignment="1">
      <alignment horizontal="center" vertical="center" textRotation="255"/>
    </xf>
    <xf numFmtId="0" fontId="77" fillId="28" borderId="120" xfId="0" applyFont="1" applyFill="1" applyBorder="1" applyAlignment="1">
      <alignment horizontal="center" vertical="center" textRotation="255"/>
    </xf>
    <xf numFmtId="0" fontId="80" fillId="0" borderId="121" xfId="0" applyFont="1" applyBorder="1" applyAlignment="1">
      <alignment horizontal="center" vertical="center" textRotation="255"/>
    </xf>
    <xf numFmtId="0" fontId="77" fillId="0" borderId="224" xfId="0" applyFont="1" applyFill="1" applyBorder="1" applyAlignment="1">
      <alignment horizontal="center" vertical="center"/>
    </xf>
    <xf numFmtId="0" fontId="77" fillId="0" borderId="226" xfId="0" applyFont="1" applyFill="1" applyBorder="1" applyAlignment="1">
      <alignment horizontal="center" vertical="center"/>
    </xf>
    <xf numFmtId="0" fontId="77" fillId="0" borderId="23" xfId="0" applyFont="1" applyFill="1" applyBorder="1" applyAlignment="1">
      <alignment horizontal="center" vertical="center" textRotation="255"/>
    </xf>
    <xf numFmtId="0" fontId="77" fillId="0" borderId="120" xfId="0" applyFont="1" applyFill="1" applyBorder="1" applyAlignment="1">
      <alignment horizontal="center" vertical="center" textRotation="255"/>
    </xf>
    <xf numFmtId="0" fontId="77" fillId="0" borderId="95" xfId="0" applyFont="1" applyFill="1" applyBorder="1" applyAlignment="1">
      <alignment horizontal="center" vertical="center" textRotation="255"/>
    </xf>
    <xf numFmtId="0" fontId="89" fillId="0" borderId="260" xfId="0" applyFont="1" applyFill="1" applyBorder="1" applyAlignment="1">
      <alignment horizontal="left" vertical="center"/>
    </xf>
    <xf numFmtId="0" fontId="80" fillId="0" borderId="95" xfId="0" applyFont="1" applyBorder="1" applyAlignment="1">
      <alignment vertical="center"/>
    </xf>
    <xf numFmtId="0" fontId="102" fillId="0" borderId="224" xfId="0" applyFont="1" applyFill="1" applyBorder="1" applyAlignment="1">
      <alignment horizontal="center" vertical="center" wrapText="1"/>
    </xf>
    <xf numFmtId="0" fontId="102" fillId="0" borderId="225" xfId="0" applyFont="1" applyFill="1" applyBorder="1" applyAlignment="1">
      <alignment horizontal="center" vertical="center" wrapText="1"/>
    </xf>
    <xf numFmtId="0" fontId="86" fillId="0" borderId="283" xfId="0" applyFont="1" applyFill="1" applyBorder="1" applyAlignment="1">
      <alignment horizontal="center" vertical="center" wrapText="1"/>
    </xf>
    <xf numFmtId="0" fontId="86" fillId="0" borderId="258" xfId="0" applyFont="1" applyFill="1" applyBorder="1" applyAlignment="1">
      <alignment horizontal="center" vertical="center" wrapText="1"/>
    </xf>
    <xf numFmtId="0" fontId="86" fillId="29" borderId="144" xfId="0" applyFont="1" applyFill="1" applyBorder="1" applyAlignment="1">
      <alignment horizontal="left" vertical="center"/>
    </xf>
    <xf numFmtId="0" fontId="80" fillId="29" borderId="142" xfId="0" applyFont="1" applyFill="1" applyBorder="1" applyAlignment="1">
      <alignment horizontal="left" vertical="center"/>
    </xf>
    <xf numFmtId="0" fontId="80" fillId="29" borderId="140" xfId="0" applyFont="1" applyFill="1" applyBorder="1" applyAlignment="1">
      <alignment horizontal="left" vertical="center"/>
    </xf>
    <xf numFmtId="0" fontId="86" fillId="29" borderId="314" xfId="0" applyFont="1" applyFill="1" applyBorder="1" applyAlignment="1">
      <alignment horizontal="left" vertical="center"/>
    </xf>
    <xf numFmtId="0" fontId="80" fillId="29" borderId="157" xfId="0" applyFont="1" applyFill="1" applyBorder="1" applyAlignment="1">
      <alignment horizontal="left" vertical="center"/>
    </xf>
    <xf numFmtId="0" fontId="80" fillId="29" borderId="108" xfId="0" applyFont="1" applyFill="1" applyBorder="1" applyAlignment="1">
      <alignment horizontal="left" vertical="center"/>
    </xf>
    <xf numFmtId="0" fontId="86" fillId="0" borderId="298" xfId="0" applyFont="1" applyFill="1" applyBorder="1" applyAlignment="1">
      <alignment vertical="center" wrapText="1"/>
    </xf>
    <xf numFmtId="0" fontId="86" fillId="0" borderId="256" xfId="0" applyFont="1" applyFill="1" applyBorder="1" applyAlignment="1">
      <alignment vertical="center" wrapText="1"/>
    </xf>
    <xf numFmtId="0" fontId="86" fillId="0" borderId="155" xfId="0" applyFont="1" applyFill="1" applyBorder="1" applyAlignment="1">
      <alignment vertical="center" wrapText="1"/>
    </xf>
    <xf numFmtId="0" fontId="97" fillId="0" borderId="201" xfId="0" applyFont="1" applyFill="1" applyBorder="1" applyAlignment="1">
      <alignment vertical="center" wrapText="1"/>
    </xf>
    <xf numFmtId="0" fontId="97" fillId="0" borderId="228" xfId="0" applyFont="1" applyFill="1" applyBorder="1" applyAlignment="1">
      <alignment vertical="center" wrapText="1"/>
    </xf>
    <xf numFmtId="0" fontId="97" fillId="0" borderId="156" xfId="0" applyFont="1" applyFill="1" applyBorder="1" applyAlignment="1">
      <alignment vertical="center" wrapText="1"/>
    </xf>
    <xf numFmtId="0" fontId="86" fillId="0" borderId="169" xfId="0" applyFont="1" applyFill="1" applyBorder="1" applyAlignment="1">
      <alignment vertical="center"/>
    </xf>
    <xf numFmtId="0" fontId="80" fillId="0" borderId="96" xfId="0" applyFont="1" applyFill="1" applyBorder="1" applyAlignment="1">
      <alignment vertical="center"/>
    </xf>
    <xf numFmtId="0" fontId="77" fillId="0" borderId="85" xfId="0" applyFont="1" applyFill="1" applyBorder="1" applyAlignment="1">
      <alignment horizontal="center" vertical="center" textRotation="255"/>
    </xf>
    <xf numFmtId="0" fontId="86" fillId="0" borderId="298" xfId="0" applyFont="1" applyBorder="1" applyAlignment="1">
      <alignment vertical="center" wrapText="1"/>
    </xf>
    <xf numFmtId="0" fontId="86" fillId="0" borderId="256" xfId="0" applyFont="1" applyBorder="1" applyAlignment="1">
      <alignment vertical="center" wrapText="1"/>
    </xf>
    <xf numFmtId="0" fontId="86" fillId="0" borderId="155" xfId="0" applyFont="1" applyBorder="1" applyAlignment="1">
      <alignment vertical="center" wrapText="1"/>
    </xf>
    <xf numFmtId="0" fontId="97" fillId="0" borderId="201" xfId="0" applyFont="1" applyBorder="1" applyAlignment="1">
      <alignment vertical="center" wrapText="1"/>
    </xf>
    <xf numFmtId="0" fontId="97" fillId="0" borderId="228" xfId="0" applyFont="1" applyBorder="1" applyAlignment="1">
      <alignment vertical="center" wrapText="1"/>
    </xf>
    <xf numFmtId="0" fontId="97" fillId="0" borderId="156" xfId="0" applyFont="1" applyBorder="1" applyAlignment="1">
      <alignment vertical="center" wrapText="1"/>
    </xf>
    <xf numFmtId="0" fontId="86" fillId="0" borderId="169" xfId="0" applyFont="1" applyBorder="1" applyAlignment="1">
      <alignment vertical="center"/>
    </xf>
    <xf numFmtId="0" fontId="80" fillId="0" borderId="96" xfId="0" applyFont="1" applyBorder="1" applyAlignment="1">
      <alignment vertical="center"/>
    </xf>
    <xf numFmtId="0" fontId="86" fillId="25" borderId="126" xfId="0" applyFont="1" applyFill="1" applyBorder="1" applyAlignment="1">
      <alignment horizontal="center" vertical="center"/>
    </xf>
    <xf numFmtId="0" fontId="80" fillId="25" borderId="127" xfId="0" applyFont="1" applyFill="1" applyBorder="1" applyAlignment="1">
      <alignment horizontal="center" vertical="center"/>
    </xf>
    <xf numFmtId="0" fontId="80" fillId="25" borderId="157" xfId="0" applyFont="1" applyFill="1" applyBorder="1" applyAlignment="1">
      <alignment horizontal="center" vertical="center"/>
    </xf>
    <xf numFmtId="0" fontId="86" fillId="16" borderId="126" xfId="0" applyFont="1" applyFill="1" applyBorder="1" applyAlignment="1">
      <alignment horizontal="center" vertical="center"/>
    </xf>
    <xf numFmtId="0" fontId="80" fillId="16" borderId="127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vertical="center"/>
    </xf>
  </cellXfs>
  <cellStyles count="5">
    <cellStyle name="パーセント 2" xfId="2" xr:uid="{00000000-0005-0000-0000-000000000000}"/>
    <cellStyle name="桁区切り" xfId="1" builtinId="6"/>
    <cellStyle name="桁区切り 2" xfId="3" xr:uid="{00000000-0005-0000-0000-000002000000}"/>
    <cellStyle name="標準" xfId="0" builtinId="0"/>
    <cellStyle name="標準 2" xfId="4" xr:uid="{00000000-0005-0000-0000-000004000000}"/>
  </cellStyles>
  <dxfs count="2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CC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828675</xdr:colOff>
      <xdr:row>0</xdr:row>
      <xdr:rowOff>57151</xdr:rowOff>
    </xdr:from>
    <xdr:to>
      <xdr:col>4</xdr:col>
      <xdr:colOff>200025</xdr:colOff>
      <xdr:row>1</xdr:row>
      <xdr:rowOff>114300</xdr:rowOff>
    </xdr:to>
    <xdr:sp macro="" textlink="">
      <xdr:nvSpPr>
        <xdr:cNvPr id="2" name="Text Box 21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295400" y="57151"/>
          <a:ext cx="3162300" cy="304799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  <xdr:twoCellAnchor>
    <xdr:from>
      <xdr:col>16</xdr:col>
      <xdr:colOff>649941</xdr:colOff>
      <xdr:row>3</xdr:row>
      <xdr:rowOff>313765</xdr:rowOff>
    </xdr:from>
    <xdr:to>
      <xdr:col>19</xdr:col>
      <xdr:colOff>1109382</xdr:colOff>
      <xdr:row>6</xdr:row>
      <xdr:rowOff>134470</xdr:rowOff>
    </xdr:to>
    <xdr:sp macro="" textlink="">
      <xdr:nvSpPr>
        <xdr:cNvPr id="3" name="左矢印吹き出し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3289616" y="809065"/>
          <a:ext cx="4031316" cy="982755"/>
        </a:xfrm>
        <a:prstGeom prst="leftArrowCallout">
          <a:avLst>
            <a:gd name="adj1" fmla="val 25000"/>
            <a:gd name="adj2" fmla="val 25000"/>
            <a:gd name="adj3" fmla="val 25000"/>
            <a:gd name="adj4" fmla="val 93348"/>
          </a:avLst>
        </a:prstGeom>
        <a:solidFill>
          <a:schemeClr val="accent5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ja-JP" altLang="en-US" sz="1000"/>
            <a:t>資産管理明細書は事業単位で作成して下さい。</a:t>
          </a:r>
          <a:endParaRPr kumimoji="1" lang="en-US" altLang="ja-JP" sz="1000"/>
        </a:p>
        <a:p>
          <a:pPr algn="l"/>
          <a:r>
            <a:rPr kumimoji="1" lang="ja-JP" altLang="en-US" sz="1000"/>
            <a:t>例：２つの事業を一つの工事で発注する場合（ＷＢＳ管理シートが２枚有る場合）はＬ２セルに２を入力し、資産管理明細書を２枚作成。</a:t>
          </a:r>
          <a:r>
            <a:rPr kumimoji="1" lang="en-US" altLang="ja-JP" sz="1000"/>
            <a:t>※</a:t>
          </a:r>
          <a:r>
            <a:rPr kumimoji="1" lang="ja-JP" altLang="en-US" sz="1000"/>
            <a:t>１事業で分類が多く、複数枚に跨るのはＯＫ。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68</xdr:row>
      <xdr:rowOff>28575</xdr:rowOff>
    </xdr:from>
    <xdr:to>
      <xdr:col>22</xdr:col>
      <xdr:colOff>85725</xdr:colOff>
      <xdr:row>78</xdr:row>
      <xdr:rowOff>76200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782050" y="11001375"/>
          <a:ext cx="5829300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</a:t>
          </a:r>
          <a:r>
            <a:rPr kumimoji="1" lang="ja-JP" altLang="en-US" sz="1100"/>
            <a:t>費用分類</a:t>
          </a:r>
          <a:r>
            <a:rPr kumimoji="1" lang="en-US" altLang="ja-JP" sz="1100"/>
            <a:t>】,</a:t>
          </a:r>
          <a:r>
            <a:rPr kumimoji="1" lang="ja-JP" altLang="en-US" sz="1100"/>
            <a:t>費用</a:t>
          </a:r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,【</a:t>
          </a:r>
          <a:r>
            <a:rPr kumimoji="1" lang="ja-JP" altLang="en-US" sz="1100"/>
            <a:t>資産区分</a:t>
          </a:r>
          <a:r>
            <a:rPr kumimoji="1" lang="en-US" altLang="ja-JP" sz="1100"/>
            <a:t>】,</a:t>
          </a:r>
          <a:r>
            <a:rPr kumimoji="1" lang="ja-JP" altLang="en-US" sz="1100"/>
            <a:t>＜建物附属設備＞</a:t>
          </a:r>
          <a:r>
            <a:rPr kumimoji="1" lang="en-US" altLang="ja-JP" sz="1100"/>
            <a:t>,</a:t>
          </a:r>
          <a:r>
            <a:rPr kumimoji="1" lang="ja-JP" altLang="en-US" sz="1100"/>
            <a:t>店舗用簡易設備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簡易なもの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その他</a:t>
          </a:r>
          <a:r>
            <a:rPr kumimoji="1" lang="en-US" altLang="ja-JP" sz="1100"/>
            <a:t>,</a:t>
          </a:r>
          <a:r>
            <a:rPr kumimoji="1" lang="ja-JP" altLang="en-US" sz="1100"/>
            <a:t>シャッター・止水鉄扉等（金属製）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</a:t>
          </a:r>
          <a:r>
            <a:rPr kumimoji="1" lang="ja-JP" altLang="en-US" sz="1100"/>
            <a:t>＜工具・器具・備品＞</a:t>
          </a:r>
          <a:r>
            <a:rPr kumimoji="1" lang="en-US" altLang="ja-JP" sz="1100"/>
            <a:t>,</a:t>
          </a:r>
          <a:r>
            <a:rPr kumimoji="1" lang="ja-JP" altLang="en-US" sz="1100"/>
            <a:t>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電気設備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非電照サイン（その他）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非電照広告（その他）</a:t>
          </a:r>
          <a:r>
            <a:rPr kumimoji="1" lang="en-US" altLang="ja-JP" sz="1100"/>
            <a:t>,</a:t>
          </a:r>
          <a:r>
            <a:rPr kumimoji="1" lang="ja-JP" altLang="en-US" sz="1100"/>
            <a:t>無人駐車管理装置</a:t>
          </a:r>
          <a:r>
            <a:rPr kumimoji="1" lang="en-US" altLang="ja-JP" sz="1100"/>
            <a:t>,</a:t>
          </a:r>
          <a:r>
            <a:rPr kumimoji="1" lang="ja-JP" altLang="en-US" sz="1100"/>
            <a:t>その他（金属製）</a:t>
          </a:r>
          <a:r>
            <a:rPr kumimoji="1" lang="en-US" altLang="ja-JP" sz="1100"/>
            <a:t>,</a:t>
          </a:r>
          <a:r>
            <a:rPr kumimoji="1" lang="ja-JP" altLang="en-US" sz="1100"/>
            <a:t>その他（その他）</a:t>
          </a:r>
        </a:p>
      </xdr:txBody>
    </xdr:sp>
    <xdr:clientData/>
  </xdr:twoCellAnchor>
  <xdr:twoCellAnchor>
    <xdr:from>
      <xdr:col>0</xdr:col>
      <xdr:colOff>0</xdr:colOff>
      <xdr:row>6</xdr:row>
      <xdr:rowOff>1</xdr:rowOff>
    </xdr:from>
    <xdr:to>
      <xdr:col>3</xdr:col>
      <xdr:colOff>690618</xdr:colOff>
      <xdr:row>9</xdr:row>
      <xdr:rowOff>71736</xdr:rowOff>
    </xdr:to>
    <xdr:sp macro="[0]!諸経費表からリンク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1008530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手順①</a:t>
          </a:r>
        </a:p>
        <a:p>
          <a:pPr algn="l"/>
          <a:r>
            <a:rPr kumimoji="1" lang="ja-JP" altLang="en-US" sz="1000"/>
            <a:t>諸経費表が完成したらクリック</a:t>
          </a:r>
        </a:p>
      </xdr:txBody>
    </xdr:sp>
    <xdr:clientData/>
  </xdr:twoCellAnchor>
  <xdr:twoCellAnchor>
    <xdr:from>
      <xdr:col>0</xdr:col>
      <xdr:colOff>0</xdr:colOff>
      <xdr:row>9</xdr:row>
      <xdr:rowOff>156881</xdr:rowOff>
    </xdr:from>
    <xdr:to>
      <xdr:col>3</xdr:col>
      <xdr:colOff>690618</xdr:colOff>
      <xdr:row>13</xdr:row>
      <xdr:rowOff>60528</xdr:rowOff>
    </xdr:to>
    <xdr:sp macro="[0]!H列をコピーして追加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1669675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手順②</a:t>
          </a:r>
        </a:p>
        <a:p>
          <a:pPr algn="l"/>
          <a:r>
            <a:rPr kumimoji="1" lang="ja-JP" altLang="en-US" sz="1000"/>
            <a:t>Ｈ列が完成したらクリック（工事２以降がある場合）</a:t>
          </a:r>
          <a:endParaRPr kumimoji="1" lang="en-US" altLang="ja-JP" sz="1000" baseline="0"/>
        </a:p>
      </xdr:txBody>
    </xdr:sp>
    <xdr:clientData/>
  </xdr:twoCellAnchor>
  <xdr:twoCellAnchor>
    <xdr:from>
      <xdr:col>0</xdr:col>
      <xdr:colOff>0</xdr:colOff>
      <xdr:row>13</xdr:row>
      <xdr:rowOff>156882</xdr:rowOff>
    </xdr:from>
    <xdr:to>
      <xdr:col>3</xdr:col>
      <xdr:colOff>690618</xdr:colOff>
      <xdr:row>17</xdr:row>
      <xdr:rowOff>60529</xdr:rowOff>
    </xdr:to>
    <xdr:sp macro="[0]!表示設定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2342029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手順③</a:t>
          </a:r>
        </a:p>
        <a:p>
          <a:pPr algn="l"/>
          <a:r>
            <a:rPr kumimoji="1" lang="ja-JP" altLang="en-US" sz="1000"/>
            <a:t>本表の金額入力が完了したらクリック（不要な行を非表示）</a:t>
          </a:r>
          <a:endParaRPr kumimoji="1" lang="en-US" altLang="ja-JP" sz="10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13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6</xdr:row>
      <xdr:rowOff>120465</xdr:rowOff>
    </xdr:from>
    <xdr:to>
      <xdr:col>4</xdr:col>
      <xdr:colOff>299197</xdr:colOff>
      <xdr:row>11</xdr:row>
      <xdr:rowOff>295837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4923" y="1117789"/>
          <a:ext cx="2312333" cy="122872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0</xdr:row>
      <xdr:rowOff>85725</xdr:rowOff>
    </xdr:from>
    <xdr:to>
      <xdr:col>4</xdr:col>
      <xdr:colOff>1647825</xdr:colOff>
      <xdr:row>1</xdr:row>
      <xdr:rowOff>238125</xdr:rowOff>
    </xdr:to>
    <xdr:sp macro="" textlink="">
      <xdr:nvSpPr>
        <xdr:cNvPr id="2261" name="Text Box 213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 txBox="1">
          <a:spLocks noChangeArrowheads="1"/>
        </xdr:cNvSpPr>
      </xdr:nvSpPr>
      <xdr:spPr bwMode="auto">
        <a:xfrm>
          <a:off x="2019300" y="85725"/>
          <a:ext cx="2867025" cy="476250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9620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9620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1524000"/>
          <a:ext cx="3486150" cy="10763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1524000"/>
          <a:ext cx="3486150" cy="10763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25755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123825</xdr:rowOff>
    </xdr:from>
    <xdr:to>
      <xdr:col>4</xdr:col>
      <xdr:colOff>1333500</xdr:colOff>
      <xdr:row>3</xdr:row>
      <xdr:rowOff>219075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1200-0000032C0000}"/>
            </a:ext>
          </a:extLst>
        </xdr:cNvPr>
        <xdr:cNvSpPr txBox="1">
          <a:spLocks noChangeArrowheads="1"/>
        </xdr:cNvSpPr>
      </xdr:nvSpPr>
      <xdr:spPr bwMode="auto">
        <a:xfrm>
          <a:off x="714375" y="0"/>
          <a:ext cx="3857625" cy="54292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  <xdr:twoCellAnchor>
    <xdr:from>
      <xdr:col>2</xdr:col>
      <xdr:colOff>314325</xdr:colOff>
      <xdr:row>23</xdr:row>
      <xdr:rowOff>123825</xdr:rowOff>
    </xdr:from>
    <xdr:to>
      <xdr:col>4</xdr:col>
      <xdr:colOff>1333500</xdr:colOff>
      <xdr:row>26</xdr:row>
      <xdr:rowOff>219075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>
          <a:spLocks noChangeArrowheads="1"/>
        </xdr:cNvSpPr>
      </xdr:nvSpPr>
      <xdr:spPr bwMode="auto">
        <a:xfrm>
          <a:off x="720725" y="0"/>
          <a:ext cx="3863975" cy="54927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00000000-0008-0000-1300-00000124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2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8" name="Text Box 5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9" name="Text Box 6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9</xdr:row>
      <xdr:rowOff>0</xdr:rowOff>
    </xdr:from>
    <xdr:to>
      <xdr:col>6</xdr:col>
      <xdr:colOff>400050</xdr:colOff>
      <xdr:row>16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752475</xdr:colOff>
      <xdr:row>11</xdr:row>
      <xdr:rowOff>0</xdr:rowOff>
    </xdr:from>
    <xdr:to>
      <xdr:col>5</xdr:col>
      <xdr:colOff>828675</xdr:colOff>
      <xdr:row>12</xdr:row>
      <xdr:rowOff>57150</xdr:rowOff>
    </xdr:to>
    <xdr:sp macro="" textlink="">
      <xdr:nvSpPr>
        <xdr:cNvPr id="13335" name="Text Box 1">
          <a:extLst>
            <a:ext uri="{FF2B5EF4-FFF2-40B4-BE49-F238E27FC236}">
              <a16:creationId xmlns:a16="http://schemas.microsoft.com/office/drawing/2014/main" id="{00000000-0008-0000-1600-000017340000}"/>
            </a:ext>
          </a:extLst>
        </xdr:cNvPr>
        <xdr:cNvSpPr txBox="1">
          <a:spLocks noChangeArrowheads="1"/>
        </xdr:cNvSpPr>
      </xdr:nvSpPr>
      <xdr:spPr bwMode="auto">
        <a:xfrm>
          <a:off x="4333875" y="1676400"/>
          <a:ext cx="762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838200</xdr:colOff>
      <xdr:row>3</xdr:row>
      <xdr:rowOff>28575</xdr:rowOff>
    </xdr:from>
    <xdr:to>
      <xdr:col>9</xdr:col>
      <xdr:colOff>9525</xdr:colOff>
      <xdr:row>8</xdr:row>
      <xdr:rowOff>28575</xdr:rowOff>
    </xdr:to>
    <xdr:sp macro="" textlink="">
      <xdr:nvSpPr>
        <xdr:cNvPr id="13314" name="Text Box 2">
          <a:extLst>
            <a:ext uri="{FF2B5EF4-FFF2-40B4-BE49-F238E27FC236}">
              <a16:creationId xmlns:a16="http://schemas.microsoft.com/office/drawing/2014/main" id="{00000000-0008-0000-1600-000002340000}"/>
            </a:ext>
          </a:extLst>
        </xdr:cNvPr>
        <xdr:cNvSpPr txBox="1">
          <a:spLocks noChangeArrowheads="1"/>
        </xdr:cNvSpPr>
      </xdr:nvSpPr>
      <xdr:spPr bwMode="auto">
        <a:xfrm>
          <a:off x="4419600" y="485775"/>
          <a:ext cx="2038350" cy="7620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コード番号は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100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以上。</a:t>
          </a:r>
        </a:p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99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は代価（複合）で使用するため、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入力しても削除されます。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82</xdr:row>
      <xdr:rowOff>85725</xdr:rowOff>
    </xdr:from>
    <xdr:to>
      <xdr:col>4</xdr:col>
      <xdr:colOff>390525</xdr:colOff>
      <xdr:row>85</xdr:row>
      <xdr:rowOff>133351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6200" y="14030325"/>
          <a:ext cx="2886075" cy="56197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7" name="Text Box 1">
          <a:extLst>
            <a:ext uri="{FF2B5EF4-FFF2-40B4-BE49-F238E27FC236}">
              <a16:creationId xmlns:a16="http://schemas.microsoft.com/office/drawing/2014/main" id="{00000000-0008-0000-1900-000001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1900-000002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1" name="Text Box 5">
          <a:extLst>
            <a:ext uri="{FF2B5EF4-FFF2-40B4-BE49-F238E27FC236}">
              <a16:creationId xmlns:a16="http://schemas.microsoft.com/office/drawing/2014/main" id="{00000000-0008-0000-1900-000005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2" name="Text Box 6">
          <a:extLst>
            <a:ext uri="{FF2B5EF4-FFF2-40B4-BE49-F238E27FC236}">
              <a16:creationId xmlns:a16="http://schemas.microsoft.com/office/drawing/2014/main" id="{00000000-0008-0000-1900-000006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1_eizen$/&#24314;&#31689;/&#31309;&#31639;/&#12415;&#12435;&#12394;&#12398;&#12527;&#12540;&#12463;&#12501;&#12457;&#12523;&#12480;/&#33509;&#23798;&#23515;&#23376;0410533/&#22266;&#23450;&#36039;&#29987;/&#32933;&#24460;&#27211;&#22806;2&#39365;&#12488;&#12452;&#12524;&#25913;&#36896;&#24037;&#20107;&#12288;&#21442;&#32771;&#26126;&#32048;Ver500c&#65288;&#20837;&#21147;&#34920;&#20316;&#25104;&#35201;&#38936;&#12395;&#20351;&#29992;&#65289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enchiku$/&#9733;&#24314;&#31689;&#36039;&#29987;&#31649;&#29702;&#25285;&#24403;/&#12415;&#12435;&#12394;&#12398;&#12527;&#12540;&#12463;&#12501;&#12457;&#12523;&#12480;/&#30001;&#32933;9214750/&#26989;&#21209;/&#35373;&#35336;&#26989;&#21209;/2019&#24180;&#24230;&#35373;&#35336;/2019-1010&#12288;&#26481;&#26757;&#30000;&#22806;1&#39365;&#21487;&#21205;&#24335;&#12507;&#12540;&#12512;&#26613;&#35373;&#32622;&#12395;&#20276;&#12358;&#24314;&#31689;&#12381;&#12398;&#20182;&#24037;&#20107;/&#31532;2&#22238;&#22793;&#26356;/&#12304;&#26481;&#26757;&#30000;&#12305;04&#35686;&#20633;&#21729;&#12539;&#27531;&#26448;&#65381;&#65405;&#65400;&#65431;&#65391;&#65420;&#65439;&#12539;&#65393;&#65405;&#65421;&#65438;&#65405;&#65412;&#36939;&#25644;&#25353;&#20998;2018&#65288;2018.3&#21172;&#21209;&#6528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vfile92/kenchiku$/&#9733;&#24314;&#31689;&#36039;&#29987;&#31649;&#29702;&#25285;&#24403;/&#12415;&#12435;&#12394;&#12398;&#12527;&#12540;&#12463;&#12501;&#12457;&#12523;&#12480;/&#30001;&#32933;9214750/&#26989;&#21209;/&#35373;&#35336;&#26989;&#21209;/2019&#24180;&#24230;&#35373;&#35336;/2019-1010&#12288;&#26481;&#26757;&#30000;&#22806;1&#39365;&#21487;&#21205;&#24335;&#12507;&#12540;&#12512;&#26613;&#35373;&#32622;&#12395;&#20276;&#12358;&#24314;&#31689;&#12381;&#12398;&#20182;&#24037;&#20107;/&#31532;2&#22238;&#22793;&#26356;/&#12304;&#22586;&#31563;&#26412;&#30010;&#12305;04&#35686;&#20633;&#21729;&#12539;&#27531;&#26448;&#65381;&#65405;&#65400;&#65431;&#65391;&#65420;&#65439;&#12539;&#65393;&#65405;&#65421;&#65438;&#65405;&#65412;&#36939;&#25644;&#25353;&#20998;2018&#65288;2018.3&#21172;&#2120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量内訳書表紙"/>
      <sheetName val="表紙"/>
      <sheetName val="資産クラス"/>
      <sheetName val="諸経費表"/>
      <sheetName val="工事1"/>
      <sheetName val="工事2"/>
      <sheetName val="工事3"/>
      <sheetName val="工事4"/>
      <sheetName val="工事5"/>
      <sheetName val="Sheet2"/>
      <sheetName val="見積比較"/>
      <sheetName val="工事6"/>
      <sheetName val="工事7"/>
      <sheetName val="工事8"/>
      <sheetName val="工事9"/>
      <sheetName val="工事10"/>
      <sheetName val="工事11"/>
      <sheetName val="工事12"/>
      <sheetName val="工事13"/>
      <sheetName val="工事14"/>
      <sheetName val="工事15"/>
      <sheetName val="代価"/>
      <sheetName val="小運搬"/>
      <sheetName val="代価一覧"/>
      <sheetName val="諸経費表(専業工事用)"/>
      <sheetName val="随契差引諸経費表"/>
      <sheetName val="work"/>
      <sheetName val="新規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＜分類＞</v>
          </cell>
          <cell r="D1" t="str">
            <v>＜区分＞</v>
          </cell>
        </row>
        <row r="2">
          <cell r="A2" t="str">
            <v>費用</v>
          </cell>
          <cell r="D2" t="str">
            <v>＜建物附属設備＞</v>
          </cell>
        </row>
        <row r="3">
          <cell r="D3" t="str">
            <v>エヤーカーテンまたはドアー自動開閉設備</v>
          </cell>
        </row>
        <row r="4">
          <cell r="D4" t="str">
            <v>アーケード又は日よけ設備（金属製）</v>
          </cell>
        </row>
        <row r="5">
          <cell r="D5" t="str">
            <v>アーケード又は日よけ設備（その他）</v>
          </cell>
        </row>
        <row r="6">
          <cell r="D6" t="str">
            <v>店舗用簡易設備</v>
          </cell>
        </row>
        <row r="7">
          <cell r="D7" t="str">
            <v>可動間仕切り-簡易なもの</v>
          </cell>
        </row>
        <row r="8">
          <cell r="D8" t="str">
            <v>可動間仕切り-その他</v>
          </cell>
        </row>
        <row r="9">
          <cell r="D9" t="str">
            <v>金属製シャッター・止水パネル等（金属製）</v>
          </cell>
        </row>
        <row r="10">
          <cell r="D10" t="str">
            <v>シートシャッター・止水シート等(その他）</v>
          </cell>
        </row>
        <row r="12">
          <cell r="D12" t="str">
            <v>＜工具・器具・備品＞</v>
          </cell>
        </row>
        <row r="13">
          <cell r="D13" t="str">
            <v>電照サイン（金属製）</v>
          </cell>
        </row>
        <row r="14">
          <cell r="D14" t="str">
            <v>非電照サイン（金属製）</v>
          </cell>
        </row>
        <row r="15">
          <cell r="D15" t="str">
            <v>電照広告（金属製）</v>
          </cell>
        </row>
        <row r="16">
          <cell r="D16" t="str">
            <v>非電照広告（金属製）</v>
          </cell>
        </row>
        <row r="17">
          <cell r="D17" t="str">
            <v>電気設備</v>
          </cell>
        </row>
        <row r="18">
          <cell r="D18" t="str">
            <v>非電照サイン（その他）</v>
          </cell>
        </row>
        <row r="19">
          <cell r="D19" t="str">
            <v>非電照広告（その他）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  <sheetName val="残材運搬費按分表"/>
      <sheetName val="スクラップ運搬費按分表"/>
      <sheetName val="ｱｽﾍﾞｽﾄ運搬費按分表 "/>
      <sheetName val="警備員費按分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6">
          <cell r="X6">
            <v>251933</v>
          </cell>
        </row>
        <row r="11">
          <cell r="AA11">
            <v>860736</v>
          </cell>
        </row>
        <row r="14">
          <cell r="X14">
            <v>1683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"/>
      <sheetName val="残材運搬費按分表"/>
      <sheetName val="スクラップ運搬費按分表"/>
      <sheetName val="ｱｽﾍﾞｽﾄ運搬費按分表 "/>
      <sheetName val="警備員費按分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6">
          <cell r="X6">
            <v>403802</v>
          </cell>
        </row>
        <row r="10">
          <cell r="X10">
            <v>1095555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4"/>
  <sheetViews>
    <sheetView topLeftCell="A57" zoomScale="80" zoomScaleNormal="80" zoomScaleSheetLayoutView="75" workbookViewId="0">
      <selection activeCell="C13" sqref="C13:O13"/>
    </sheetView>
  </sheetViews>
  <sheetFormatPr baseColWidth="10" defaultColWidth="6.6640625" defaultRowHeight="26.25" customHeight="1"/>
  <cols>
    <col min="1" max="2" width="2.6640625" style="6" customWidth="1"/>
    <col min="3" max="3" width="6.6640625" style="1" customWidth="1"/>
    <col min="4" max="4" width="21.6640625" style="1" customWidth="1"/>
    <col min="5" max="5" width="21.6640625" style="2" customWidth="1"/>
    <col min="6" max="6" width="7.1640625" style="1" customWidth="1"/>
    <col min="7" max="7" width="7.1640625" style="3" customWidth="1"/>
    <col min="8" max="8" width="5.6640625" style="4" customWidth="1"/>
    <col min="9" max="9" width="9.1640625" style="4" customWidth="1"/>
    <col min="10" max="12" width="11.6640625" style="1" customWidth="1"/>
    <col min="13" max="13" width="2" style="1" customWidth="1"/>
    <col min="14" max="14" width="10.33203125" style="1" customWidth="1"/>
    <col min="15" max="15" width="11.6640625" style="1" customWidth="1"/>
    <col min="16" max="16" width="6.6640625" style="1" customWidth="1"/>
    <col min="17" max="17" width="9.33203125" style="1" customWidth="1"/>
    <col min="18" max="18" width="13.6640625" style="1" customWidth="1"/>
    <col min="19" max="19" width="19.83203125" style="1" customWidth="1"/>
    <col min="20" max="20" width="7.6640625" style="1" customWidth="1"/>
    <col min="21" max="22" width="11.6640625" style="1" customWidth="1"/>
    <col min="23" max="23" width="16.6640625" style="1" customWidth="1"/>
    <col min="24" max="24" width="15.5" style="1" customWidth="1"/>
    <col min="25" max="16384" width="6.6640625" style="1"/>
  </cols>
  <sheetData>
    <row r="1" spans="1:23" ht="14.25" customHeight="1">
      <c r="J1" s="222"/>
      <c r="K1" s="222"/>
      <c r="L1" s="2695" t="s">
        <v>332</v>
      </c>
      <c r="M1" s="2695"/>
      <c r="N1" s="2695"/>
      <c r="O1" s="2695"/>
    </row>
    <row r="2" spans="1:23" ht="14.25" customHeight="1">
      <c r="A2" s="8"/>
      <c r="B2" s="8"/>
      <c r="C2" s="2670"/>
      <c r="D2" s="2670"/>
      <c r="E2" s="18"/>
      <c r="F2" s="18"/>
      <c r="G2" s="18"/>
      <c r="H2" s="18"/>
      <c r="I2" s="18"/>
      <c r="J2" s="222"/>
      <c r="K2" s="222"/>
      <c r="L2" s="2699" t="s">
        <v>330</v>
      </c>
      <c r="M2" s="2699"/>
      <c r="N2" s="2675" t="s">
        <v>3348</v>
      </c>
      <c r="O2" s="2675"/>
    </row>
    <row r="3" spans="1:23" ht="14.25" customHeight="1">
      <c r="A3" s="9"/>
      <c r="B3" s="9"/>
      <c r="C3" s="2670"/>
      <c r="D3" s="2670"/>
      <c r="E3" s="10"/>
      <c r="F3" s="11"/>
      <c r="G3" s="11"/>
      <c r="J3" s="222"/>
      <c r="K3" s="222"/>
      <c r="L3" s="2673" t="s">
        <v>331</v>
      </c>
      <c r="M3" s="2673"/>
      <c r="N3" s="2678" t="s">
        <v>3349</v>
      </c>
      <c r="O3" s="2678"/>
    </row>
    <row r="4" spans="1:23" ht="14.25" customHeight="1">
      <c r="A4" s="12"/>
      <c r="B4" s="12"/>
      <c r="C4" s="13"/>
      <c r="D4" s="14"/>
      <c r="E4" s="15"/>
      <c r="F4" s="14"/>
      <c r="G4" s="11"/>
      <c r="J4" s="222"/>
      <c r="K4" s="222"/>
      <c r="L4" s="2673" t="s">
        <v>2491</v>
      </c>
      <c r="M4" s="2673"/>
      <c r="N4" s="2678">
        <v>43998</v>
      </c>
      <c r="O4" s="2678"/>
    </row>
    <row r="5" spans="1:23" ht="14.25" customHeight="1">
      <c r="A5" s="12"/>
      <c r="B5" s="12"/>
      <c r="C5" s="16"/>
      <c r="D5" s="14"/>
      <c r="E5" s="15"/>
      <c r="F5" s="14"/>
      <c r="G5" s="11"/>
      <c r="H5" s="17"/>
      <c r="I5" s="17"/>
      <c r="J5" s="222"/>
      <c r="K5" s="222"/>
      <c r="L5" s="2673" t="s">
        <v>329</v>
      </c>
      <c r="M5" s="2673"/>
      <c r="N5" s="2678">
        <v>43998</v>
      </c>
      <c r="O5" s="2678"/>
      <c r="Q5" s="140" t="s">
        <v>41</v>
      </c>
      <c r="R5" s="140"/>
      <c r="S5" s="141" t="s">
        <v>333</v>
      </c>
      <c r="U5" s="140" t="s">
        <v>103</v>
      </c>
      <c r="V5" s="140"/>
      <c r="W5" s="496" t="s">
        <v>334</v>
      </c>
    </row>
    <row r="6" spans="1:23" ht="14.25" customHeight="1">
      <c r="A6" s="12"/>
      <c r="B6" s="12"/>
      <c r="C6" s="16"/>
      <c r="D6" s="14"/>
      <c r="E6" s="15"/>
      <c r="F6" s="14"/>
      <c r="G6" s="11"/>
      <c r="H6" s="17"/>
      <c r="I6" s="17"/>
      <c r="J6" s="222"/>
      <c r="K6" s="222"/>
      <c r="L6" s="2673" t="s">
        <v>326</v>
      </c>
      <c r="M6" s="2673"/>
      <c r="N6" s="2677">
        <v>43221</v>
      </c>
      <c r="O6" s="2677"/>
      <c r="Q6" s="140" t="s">
        <v>42</v>
      </c>
      <c r="R6" s="140"/>
      <c r="S6" s="142" t="s">
        <v>80</v>
      </c>
      <c r="U6" s="140" t="s">
        <v>42</v>
      </c>
      <c r="V6" s="140"/>
      <c r="W6" s="142" t="s">
        <v>80</v>
      </c>
    </row>
    <row r="7" spans="1:23" ht="14.25" customHeight="1">
      <c r="A7" s="12"/>
      <c r="B7" s="12"/>
      <c r="C7" s="16"/>
      <c r="D7" s="14"/>
      <c r="E7" s="15"/>
      <c r="F7" s="14"/>
      <c r="G7" s="11"/>
      <c r="H7" s="17"/>
      <c r="I7" s="17"/>
      <c r="J7" s="222"/>
      <c r="K7" s="222"/>
      <c r="L7" s="2673" t="s">
        <v>327</v>
      </c>
      <c r="M7" s="2673"/>
      <c r="N7" s="2674" t="s">
        <v>2977</v>
      </c>
      <c r="O7" s="2674"/>
      <c r="Q7" s="143"/>
      <c r="R7" s="143"/>
      <c r="S7" s="143"/>
    </row>
    <row r="8" spans="1:23" ht="14.25" customHeight="1">
      <c r="A8" s="12"/>
      <c r="B8" s="12"/>
      <c r="C8" s="16"/>
      <c r="D8" s="14"/>
      <c r="E8" s="15"/>
      <c r="F8" s="14"/>
      <c r="G8" s="11"/>
      <c r="H8" s="17"/>
      <c r="I8" s="17"/>
      <c r="J8" s="222"/>
      <c r="K8" s="222"/>
      <c r="L8" s="2673" t="s">
        <v>328</v>
      </c>
      <c r="M8" s="2673"/>
      <c r="N8" s="2676">
        <v>1010</v>
      </c>
      <c r="O8" s="2676"/>
      <c r="Q8" s="144" t="s">
        <v>51</v>
      </c>
      <c r="U8" s="140" t="s">
        <v>114</v>
      </c>
      <c r="V8" s="140"/>
      <c r="W8" s="141" t="s">
        <v>2497</v>
      </c>
    </row>
    <row r="9" spans="1:23" ht="14.25" customHeight="1">
      <c r="A9" s="12"/>
      <c r="B9" s="12"/>
      <c r="C9" s="16"/>
      <c r="D9" s="14"/>
      <c r="E9" s="15"/>
      <c r="F9" s="14"/>
      <c r="G9" s="11"/>
      <c r="H9" s="17"/>
      <c r="I9" s="17"/>
      <c r="J9" s="222"/>
      <c r="K9" s="222"/>
      <c r="L9" s="2673"/>
      <c r="M9" s="2673"/>
      <c r="N9" s="2676"/>
      <c r="O9" s="2676"/>
      <c r="S9" s="145">
        <v>1</v>
      </c>
      <c r="U9" s="140" t="s">
        <v>115</v>
      </c>
      <c r="V9" s="140"/>
      <c r="W9" s="142" t="s">
        <v>80</v>
      </c>
    </row>
    <row r="10" spans="1:23" ht="45" customHeight="1">
      <c r="A10" s="12"/>
      <c r="B10" s="12"/>
      <c r="C10" s="16"/>
      <c r="D10" s="14"/>
      <c r="E10" s="15"/>
      <c r="F10" s="14"/>
      <c r="G10" s="11"/>
      <c r="H10" s="17"/>
      <c r="I10" s="17"/>
      <c r="J10" s="14"/>
      <c r="K10" s="14"/>
      <c r="L10" s="14"/>
    </row>
    <row r="11" spans="1:23" ht="25" customHeight="1" thickBot="1">
      <c r="A11" s="12"/>
      <c r="B11" s="12"/>
      <c r="C11" s="16"/>
      <c r="D11" s="2671" t="s">
        <v>2963</v>
      </c>
      <c r="E11" s="2671"/>
      <c r="F11" s="2671"/>
      <c r="G11" s="2671"/>
      <c r="H11" s="2671"/>
      <c r="I11" s="2671"/>
      <c r="J11" s="2671"/>
      <c r="K11" s="2671"/>
      <c r="L11" s="2671"/>
      <c r="M11" s="2671"/>
      <c r="N11" s="2671"/>
    </row>
    <row r="12" spans="1:23" ht="37.5" customHeight="1">
      <c r="A12" s="12"/>
      <c r="B12" s="12"/>
      <c r="C12" s="16"/>
      <c r="D12" s="14"/>
      <c r="E12" s="15"/>
      <c r="F12" s="14"/>
      <c r="G12" s="11"/>
      <c r="H12" s="17"/>
      <c r="I12" s="17"/>
      <c r="J12" s="14"/>
      <c r="K12" s="14"/>
      <c r="L12" s="14"/>
    </row>
    <row r="13" spans="1:23" ht="25" customHeight="1">
      <c r="A13" s="12"/>
      <c r="B13" s="12"/>
      <c r="C13" s="2672" t="s">
        <v>2976</v>
      </c>
      <c r="D13" s="2672"/>
      <c r="E13" s="2672"/>
      <c r="F13" s="2672"/>
      <c r="G13" s="2672"/>
      <c r="H13" s="2672"/>
      <c r="I13" s="2672"/>
      <c r="J13" s="2672"/>
      <c r="K13" s="2672"/>
      <c r="L13" s="2672"/>
      <c r="M13" s="2672"/>
      <c r="N13" s="2672"/>
      <c r="O13" s="2672"/>
    </row>
    <row r="14" spans="1:23" ht="30" customHeight="1">
      <c r="A14" s="12"/>
      <c r="B14" s="12"/>
      <c r="C14" s="16"/>
      <c r="D14" s="14"/>
      <c r="E14" s="15"/>
      <c r="F14" s="14"/>
      <c r="G14" s="11"/>
      <c r="H14" s="17"/>
      <c r="I14" s="17"/>
      <c r="J14" s="14"/>
      <c r="K14" s="14"/>
      <c r="L14" s="14"/>
    </row>
    <row r="15" spans="1:23" ht="30" customHeight="1">
      <c r="A15" s="12"/>
      <c r="B15" s="12"/>
      <c r="C15" s="16"/>
      <c r="D15" s="14"/>
      <c r="E15" s="15"/>
      <c r="F15" s="14"/>
      <c r="G15" s="11"/>
      <c r="H15" s="17"/>
      <c r="I15" s="17"/>
      <c r="J15" s="14"/>
      <c r="K15" s="14"/>
      <c r="L15" s="14"/>
    </row>
    <row r="16" spans="1:23" ht="30" customHeight="1">
      <c r="A16" s="12"/>
      <c r="B16" s="12"/>
      <c r="C16" s="16"/>
      <c r="D16" s="14"/>
      <c r="E16" s="15"/>
      <c r="F16" s="14"/>
      <c r="G16" s="11"/>
      <c r="H16" s="17"/>
      <c r="I16" s="17"/>
      <c r="J16" s="14"/>
      <c r="K16" s="14"/>
      <c r="L16" s="14"/>
    </row>
    <row r="17" spans="1:15" ht="18" customHeight="1">
      <c r="A17" s="12"/>
      <c r="B17" s="12"/>
      <c r="C17" s="16"/>
      <c r="D17" s="14"/>
      <c r="E17" s="15"/>
      <c r="F17" s="14"/>
      <c r="G17" s="11"/>
      <c r="H17" s="17"/>
      <c r="I17" s="17"/>
      <c r="J17" s="14"/>
      <c r="K17" s="14"/>
      <c r="L17" s="2696" t="s">
        <v>321</v>
      </c>
      <c r="M17" s="2697"/>
      <c r="N17" s="2697"/>
      <c r="O17" s="2698"/>
    </row>
    <row r="18" spans="1:15" ht="18" customHeight="1">
      <c r="A18" s="12"/>
      <c r="B18" s="12"/>
      <c r="C18" s="16"/>
      <c r="D18" s="14"/>
      <c r="E18" s="15"/>
      <c r="F18" s="14"/>
      <c r="G18" s="11"/>
      <c r="H18" s="17"/>
      <c r="L18" s="2696" t="s">
        <v>322</v>
      </c>
      <c r="M18" s="2697"/>
      <c r="N18" s="2698"/>
      <c r="O18" s="2686" t="s">
        <v>323</v>
      </c>
    </row>
    <row r="19" spans="1:15" ht="18" customHeight="1">
      <c r="A19" s="12"/>
      <c r="B19" s="12"/>
      <c r="C19" s="16"/>
      <c r="D19" s="14"/>
      <c r="E19" s="15"/>
      <c r="F19" s="14"/>
      <c r="G19" s="11"/>
      <c r="H19" s="17"/>
      <c r="L19" s="493" t="s">
        <v>324</v>
      </c>
      <c r="M19" s="2700" t="s">
        <v>325</v>
      </c>
      <c r="N19" s="2701"/>
      <c r="O19" s="2688"/>
    </row>
    <row r="20" spans="1:15" ht="20.25" customHeight="1">
      <c r="A20" s="12"/>
      <c r="B20" s="12"/>
      <c r="C20" s="16"/>
      <c r="D20" s="14"/>
      <c r="E20" s="15"/>
      <c r="F20" s="14"/>
      <c r="G20" s="11"/>
      <c r="H20" s="17"/>
      <c r="I20" s="17"/>
      <c r="J20" s="14"/>
      <c r="K20" s="14"/>
      <c r="L20" s="2686" t="s">
        <v>2973</v>
      </c>
      <c r="M20" s="2680" t="s">
        <v>2974</v>
      </c>
      <c r="N20" s="2681"/>
      <c r="O20" s="2686" t="s">
        <v>2975</v>
      </c>
    </row>
    <row r="21" spans="1:15" ht="20.25" customHeight="1">
      <c r="A21" s="12"/>
      <c r="B21" s="12"/>
      <c r="C21" s="16"/>
      <c r="D21" s="14"/>
      <c r="E21" s="15"/>
      <c r="F21" s="14"/>
      <c r="G21" s="11"/>
      <c r="H21" s="17"/>
      <c r="I21" s="17"/>
      <c r="J21" s="494"/>
      <c r="K21" s="495"/>
      <c r="L21" s="2687"/>
      <c r="M21" s="2682"/>
      <c r="N21" s="2683"/>
      <c r="O21" s="2687"/>
    </row>
    <row r="22" spans="1:15" ht="20.25" customHeight="1">
      <c r="A22" s="12"/>
      <c r="B22" s="12"/>
      <c r="C22" s="16"/>
      <c r="D22" s="14"/>
      <c r="E22" s="15"/>
      <c r="F22" s="14"/>
      <c r="G22" s="11"/>
      <c r="H22" s="17"/>
      <c r="I22" s="17"/>
      <c r="J22" s="14"/>
      <c r="K22" s="14"/>
      <c r="L22" s="2688"/>
      <c r="M22" s="2684"/>
      <c r="N22" s="2685"/>
      <c r="O22" s="2688"/>
    </row>
    <row r="23" spans="1:15" ht="20.25" customHeight="1">
      <c r="A23" s="12"/>
      <c r="B23" s="12"/>
      <c r="C23" s="16"/>
      <c r="D23" s="14"/>
      <c r="E23" s="15"/>
      <c r="F23" s="50"/>
      <c r="G23" s="11"/>
      <c r="H23" s="17"/>
      <c r="I23" s="17"/>
      <c r="L23" s="492"/>
      <c r="M23" s="492"/>
      <c r="N23" s="492"/>
      <c r="O23" s="492"/>
    </row>
    <row r="24" spans="1:15" ht="20.25" customHeight="1">
      <c r="B24" s="1"/>
      <c r="E24" s="15"/>
      <c r="F24" s="50">
        <v>0</v>
      </c>
      <c r="H24" s="17"/>
      <c r="I24" s="1"/>
      <c r="J24" s="19"/>
      <c r="K24" s="14"/>
      <c r="L24" s="14"/>
    </row>
    <row r="25" spans="1:15" ht="20.25" customHeight="1">
      <c r="B25" s="14" t="s">
        <v>261</v>
      </c>
      <c r="E25" s="15"/>
      <c r="F25" s="50"/>
      <c r="H25" s="354">
        <f>work!H18</f>
        <v>35</v>
      </c>
      <c r="I25" s="94">
        <v>3</v>
      </c>
      <c r="J25" s="355"/>
      <c r="K25" s="14"/>
      <c r="L25" s="14"/>
    </row>
    <row r="26" spans="1:15" customFormat="1" ht="26.25" customHeight="1" thickBot="1">
      <c r="E26" s="313" t="s">
        <v>317</v>
      </c>
      <c r="L26" s="314" t="s">
        <v>246</v>
      </c>
      <c r="M26" s="315"/>
      <c r="N26" s="316"/>
      <c r="O26" s="317"/>
    </row>
    <row r="27" spans="1:15" customFormat="1" ht="21" customHeight="1">
      <c r="A27" s="2662" t="s">
        <v>247</v>
      </c>
      <c r="B27" s="2663" t="s">
        <v>9</v>
      </c>
      <c r="C27" s="2664" t="s">
        <v>248</v>
      </c>
      <c r="D27" s="2665"/>
      <c r="E27" s="2668" t="s">
        <v>20</v>
      </c>
      <c r="F27" s="2679" t="s">
        <v>249</v>
      </c>
      <c r="G27" s="2679"/>
      <c r="H27" s="2668" t="s">
        <v>22</v>
      </c>
      <c r="I27" s="2668" t="s">
        <v>250</v>
      </c>
      <c r="J27" s="2679" t="s">
        <v>251</v>
      </c>
      <c r="K27" s="2679"/>
      <c r="L27" s="2627" t="s">
        <v>252</v>
      </c>
      <c r="M27" s="2689" t="s">
        <v>253</v>
      </c>
      <c r="N27" s="2690"/>
      <c r="O27" s="2691"/>
    </row>
    <row r="28" spans="1:15" customFormat="1" ht="21" customHeight="1">
      <c r="A28" s="2662"/>
      <c r="B28" s="2663"/>
      <c r="C28" s="2666"/>
      <c r="D28" s="2667"/>
      <c r="E28" s="2669"/>
      <c r="F28" s="319" t="s">
        <v>254</v>
      </c>
      <c r="G28" s="320" t="s">
        <v>255</v>
      </c>
      <c r="H28" s="2669"/>
      <c r="I28" s="2669"/>
      <c r="J28" s="320" t="s">
        <v>256</v>
      </c>
      <c r="K28" s="319" t="s">
        <v>257</v>
      </c>
      <c r="L28" s="221" t="s">
        <v>258</v>
      </c>
      <c r="M28" s="2692"/>
      <c r="N28" s="2693"/>
      <c r="O28" s="2694"/>
    </row>
    <row r="29" spans="1:15" customFormat="1" ht="25" customHeight="1">
      <c r="A29" s="321"/>
      <c r="B29" s="321"/>
      <c r="C29" s="322"/>
      <c r="D29" s="323"/>
      <c r="E29" s="324"/>
      <c r="F29" s="325"/>
      <c r="G29" s="326"/>
      <c r="H29" s="327"/>
      <c r="I29" s="328"/>
      <c r="J29" s="2560"/>
      <c r="K29" s="2560"/>
      <c r="L29" s="2560"/>
      <c r="M29" s="329"/>
      <c r="N29" s="330"/>
      <c r="O29" s="331"/>
    </row>
    <row r="30" spans="1:15" customFormat="1" ht="25" customHeight="1">
      <c r="A30" s="332"/>
      <c r="B30" s="332"/>
      <c r="C30" s="333"/>
      <c r="D30" s="323" t="s">
        <v>2964</v>
      </c>
      <c r="E30" s="324"/>
      <c r="F30" s="334"/>
      <c r="G30" s="335"/>
      <c r="H30" s="336"/>
      <c r="I30" s="337"/>
      <c r="J30" s="2557">
        <f>+J59</f>
        <v>162941000</v>
      </c>
      <c r="K30" s="2557">
        <f t="shared" ref="K30:L30" si="0">+K59</f>
        <v>172175000</v>
      </c>
      <c r="L30" s="2557">
        <f t="shared" si="0"/>
        <v>9234000</v>
      </c>
      <c r="M30" s="338"/>
      <c r="N30" s="338"/>
      <c r="O30" s="339"/>
    </row>
    <row r="31" spans="1:15" customFormat="1" ht="25" customHeight="1">
      <c r="A31" s="332"/>
      <c r="B31" s="332"/>
      <c r="C31" s="333"/>
      <c r="D31" s="323" t="s">
        <v>13</v>
      </c>
      <c r="E31" s="324"/>
      <c r="F31" s="334"/>
      <c r="G31" s="335"/>
      <c r="H31" s="336"/>
      <c r="I31" s="337"/>
      <c r="J31" s="2557">
        <f>+J30*0.1</f>
        <v>16294100</v>
      </c>
      <c r="K31" s="2557">
        <f>+J31+L31</f>
        <v>17217500</v>
      </c>
      <c r="L31" s="2557">
        <f>+L30*0.1</f>
        <v>923400</v>
      </c>
      <c r="M31" s="338"/>
      <c r="N31" s="338"/>
      <c r="O31" s="339"/>
    </row>
    <row r="32" spans="1:15" customFormat="1" ht="25" customHeight="1">
      <c r="A32" s="332"/>
      <c r="B32" s="332"/>
      <c r="C32" s="333"/>
      <c r="D32" s="323" t="s">
        <v>2965</v>
      </c>
      <c r="E32" s="324"/>
      <c r="F32" s="334"/>
      <c r="G32" s="335"/>
      <c r="H32" s="336"/>
      <c r="I32" s="337"/>
      <c r="J32" s="2557">
        <f>+J30+J31</f>
        <v>179235100</v>
      </c>
      <c r="K32" s="2557">
        <f t="shared" ref="K32:L32" si="1">+K30+K31</f>
        <v>189392500</v>
      </c>
      <c r="L32" s="2557">
        <f t="shared" si="1"/>
        <v>10157400</v>
      </c>
      <c r="M32" s="338"/>
      <c r="N32" s="338"/>
      <c r="O32" s="339"/>
    </row>
    <row r="33" spans="1:17" customFormat="1" ht="25" customHeight="1">
      <c r="A33" s="332"/>
      <c r="B33" s="332"/>
      <c r="C33" s="333"/>
      <c r="D33" s="323"/>
      <c r="E33" s="324"/>
      <c r="F33" s="334"/>
      <c r="G33" s="335"/>
      <c r="H33" s="336"/>
      <c r="I33" s="337"/>
      <c r="J33" s="2557"/>
      <c r="K33" s="2557"/>
      <c r="L33" s="2557"/>
      <c r="M33" s="338"/>
      <c r="N33" s="338"/>
      <c r="O33" s="339"/>
    </row>
    <row r="34" spans="1:17" customFormat="1" ht="25" customHeight="1">
      <c r="A34" s="332"/>
      <c r="B34" s="332"/>
      <c r="C34" s="333"/>
      <c r="D34" s="323"/>
      <c r="E34" s="324"/>
      <c r="F34" s="334"/>
      <c r="G34" s="335"/>
      <c r="H34" s="336"/>
      <c r="I34" s="337"/>
      <c r="J34" s="2557"/>
      <c r="K34" s="2557"/>
      <c r="L34" s="2557"/>
      <c r="M34" s="338"/>
      <c r="N34" s="338"/>
      <c r="O34" s="339"/>
    </row>
    <row r="35" spans="1:17" customFormat="1" ht="25" customHeight="1">
      <c r="A35" s="332"/>
      <c r="B35" s="332"/>
      <c r="C35" s="333"/>
      <c r="D35" s="323" t="s">
        <v>2966</v>
      </c>
      <c r="E35" s="324"/>
      <c r="F35" s="334"/>
      <c r="G35" s="335"/>
      <c r="H35" s="336"/>
      <c r="I35" s="337"/>
      <c r="J35" s="2557">
        <f>+J82</f>
        <v>196059000</v>
      </c>
      <c r="K35" s="2557">
        <f t="shared" ref="K35:L35" si="2">+K82</f>
        <v>206485000</v>
      </c>
      <c r="L35" s="2557">
        <f t="shared" si="2"/>
        <v>10426000</v>
      </c>
      <c r="M35" s="338"/>
      <c r="N35" s="338"/>
      <c r="O35" s="339"/>
    </row>
    <row r="36" spans="1:17" customFormat="1" ht="25" customHeight="1">
      <c r="A36" s="332"/>
      <c r="B36" s="332"/>
      <c r="C36" s="333"/>
      <c r="D36" s="323" t="s">
        <v>13</v>
      </c>
      <c r="E36" s="324"/>
      <c r="F36" s="334"/>
      <c r="G36" s="335"/>
      <c r="H36" s="336"/>
      <c r="I36" s="337"/>
      <c r="J36" s="2557">
        <f>+J35*0.1</f>
        <v>19605900</v>
      </c>
      <c r="K36" s="2557">
        <f t="shared" ref="K36:L36" si="3">+K35*0.1</f>
        <v>20648500</v>
      </c>
      <c r="L36" s="2557">
        <f t="shared" si="3"/>
        <v>1042600</v>
      </c>
      <c r="M36" s="338"/>
      <c r="N36" s="338"/>
      <c r="O36" s="339"/>
    </row>
    <row r="37" spans="1:17" customFormat="1" ht="25" customHeight="1">
      <c r="A37" s="332"/>
      <c r="B37" s="332"/>
      <c r="C37" s="333"/>
      <c r="D37" s="323" t="s">
        <v>2965</v>
      </c>
      <c r="E37" s="324"/>
      <c r="F37" s="334"/>
      <c r="G37" s="335"/>
      <c r="H37" s="336"/>
      <c r="I37" s="337"/>
      <c r="J37" s="2557">
        <f>+J35+J36</f>
        <v>215664900</v>
      </c>
      <c r="K37" s="2557">
        <f t="shared" ref="K37:L37" si="4">+K35+K36</f>
        <v>227133500</v>
      </c>
      <c r="L37" s="2557">
        <f t="shared" si="4"/>
        <v>11468600</v>
      </c>
      <c r="M37" s="338"/>
      <c r="N37" s="338"/>
      <c r="O37" s="339"/>
    </row>
    <row r="38" spans="1:17" customFormat="1" ht="25" customHeight="1">
      <c r="A38" s="332"/>
      <c r="B38" s="332"/>
      <c r="C38" s="333"/>
      <c r="D38" s="323"/>
      <c r="E38" s="324"/>
      <c r="F38" s="334"/>
      <c r="G38" s="335"/>
      <c r="H38" s="336"/>
      <c r="I38" s="337"/>
      <c r="J38" s="2557"/>
      <c r="K38" s="2557"/>
      <c r="L38" s="2557"/>
      <c r="M38" s="338"/>
      <c r="N38" s="338"/>
      <c r="O38" s="339"/>
    </row>
    <row r="39" spans="1:17" customFormat="1" ht="25" customHeight="1">
      <c r="A39" s="332"/>
      <c r="B39" s="332"/>
      <c r="C39" s="333"/>
      <c r="D39" s="323"/>
      <c r="E39" s="324"/>
      <c r="F39" s="334"/>
      <c r="G39" s="335"/>
      <c r="H39" s="336"/>
      <c r="I39" s="337"/>
      <c r="J39" s="2557"/>
      <c r="K39" s="2557"/>
      <c r="L39" s="2557"/>
      <c r="M39" s="338"/>
      <c r="N39" s="338"/>
      <c r="O39" s="339"/>
    </row>
    <row r="40" spans="1:17" customFormat="1" ht="25" customHeight="1">
      <c r="A40" s="332"/>
      <c r="B40" s="332"/>
      <c r="C40" s="333"/>
      <c r="D40" s="323"/>
      <c r="E40" s="324"/>
      <c r="F40" s="334"/>
      <c r="G40" s="335"/>
      <c r="H40" s="336"/>
      <c r="I40" s="337"/>
      <c r="J40" s="2557"/>
      <c r="K40" s="2557"/>
      <c r="L40" s="2557"/>
      <c r="M40" s="338"/>
      <c r="N40" s="338"/>
      <c r="O40" s="339"/>
    </row>
    <row r="41" spans="1:17" customFormat="1" ht="25" customHeight="1">
      <c r="A41" s="332"/>
      <c r="B41" s="332"/>
      <c r="C41" s="333"/>
      <c r="D41" s="323"/>
      <c r="E41" s="324"/>
      <c r="F41" s="334"/>
      <c r="G41" s="335"/>
      <c r="H41" s="336"/>
      <c r="I41" s="337"/>
      <c r="J41" s="2557"/>
      <c r="K41" s="2557"/>
      <c r="L41" s="2557"/>
      <c r="M41" s="338"/>
      <c r="N41" s="338"/>
      <c r="O41" s="339"/>
    </row>
    <row r="42" spans="1:17" customFormat="1" ht="25" customHeight="1">
      <c r="A42" s="332"/>
      <c r="B42" s="332"/>
      <c r="C42" s="333"/>
      <c r="D42" s="340"/>
      <c r="E42" s="324"/>
      <c r="F42" s="334"/>
      <c r="G42" s="335"/>
      <c r="H42" s="336"/>
      <c r="I42" s="337"/>
      <c r="J42" s="2557"/>
      <c r="K42" s="2557"/>
      <c r="L42" s="2557"/>
      <c r="M42" s="338"/>
      <c r="N42" s="338"/>
      <c r="O42" s="339"/>
    </row>
    <row r="43" spans="1:17" customFormat="1" ht="25" customHeight="1">
      <c r="A43" s="332"/>
      <c r="B43" s="332"/>
      <c r="C43" s="333"/>
      <c r="D43" s="341"/>
      <c r="E43" s="324"/>
      <c r="F43" s="334"/>
      <c r="G43" s="335"/>
      <c r="H43" s="336"/>
      <c r="I43" s="337"/>
      <c r="J43" s="2557"/>
      <c r="K43" s="2557"/>
      <c r="L43" s="2557"/>
      <c r="M43" s="338"/>
      <c r="N43" s="338"/>
      <c r="O43" s="339"/>
    </row>
    <row r="44" spans="1:17" customFormat="1" ht="25" customHeight="1" thickBot="1">
      <c r="A44" s="332"/>
      <c r="B44" s="332"/>
      <c r="C44" s="2537"/>
      <c r="D44" s="2538"/>
      <c r="E44" s="2539"/>
      <c r="F44" s="2540"/>
      <c r="G44" s="2541"/>
      <c r="H44" s="2542"/>
      <c r="I44" s="2543"/>
      <c r="J44" s="2561"/>
      <c r="K44" s="2561"/>
      <c r="L44" s="2561"/>
      <c r="M44" s="2544"/>
      <c r="N44" s="2544"/>
      <c r="O44" s="2545"/>
    </row>
    <row r="45" spans="1:17" customFormat="1" ht="25" customHeight="1" thickTop="1">
      <c r="A45" s="332"/>
      <c r="B45" s="332"/>
      <c r="C45" s="2546"/>
      <c r="D45" s="2547" t="s">
        <v>2965</v>
      </c>
      <c r="E45" s="2548"/>
      <c r="F45" s="2549"/>
      <c r="G45" s="2550"/>
      <c r="H45" s="2551"/>
      <c r="I45" s="2552"/>
      <c r="J45" s="2562">
        <f>+J30+J35</f>
        <v>359000000</v>
      </c>
      <c r="K45" s="2562">
        <f>+J45+L45</f>
        <v>378660000</v>
      </c>
      <c r="L45" s="2562">
        <f>+L30+L35</f>
        <v>19660000</v>
      </c>
      <c r="M45" s="2553"/>
      <c r="N45" s="2553"/>
      <c r="O45" s="2554"/>
    </row>
    <row r="46" spans="1:17" customFormat="1" ht="25" customHeight="1">
      <c r="A46" s="332"/>
      <c r="B46" s="332"/>
      <c r="C46" s="333"/>
      <c r="D46" s="341" t="s">
        <v>13</v>
      </c>
      <c r="E46" s="324"/>
      <c r="F46" s="342"/>
      <c r="G46" s="337"/>
      <c r="H46" s="336"/>
      <c r="I46" s="337"/>
      <c r="J46" s="2557">
        <f>+J45*0.1</f>
        <v>35900000</v>
      </c>
      <c r="K46" s="2558">
        <f>+J46+L46</f>
        <v>37866000</v>
      </c>
      <c r="L46" s="2557">
        <f>+L45*0.1</f>
        <v>1966000</v>
      </c>
      <c r="M46" s="342"/>
      <c r="N46" s="342"/>
      <c r="O46" s="343"/>
    </row>
    <row r="47" spans="1:17" customFormat="1" ht="25" customHeight="1" thickBot="1">
      <c r="A47" s="332"/>
      <c r="B47" s="332"/>
      <c r="C47" s="344"/>
      <c r="D47" s="345" t="s">
        <v>2972</v>
      </c>
      <c r="E47" s="346"/>
      <c r="F47" s="347"/>
      <c r="G47" s="348"/>
      <c r="H47" s="349"/>
      <c r="I47" s="348"/>
      <c r="J47" s="2563">
        <f t="shared" ref="J47" si="5">+J45+J46</f>
        <v>394900000</v>
      </c>
      <c r="K47" s="2563">
        <f>+K45+K46</f>
        <v>416526000</v>
      </c>
      <c r="L47" s="2563">
        <f t="shared" ref="L47" si="6">+L45+L46</f>
        <v>21626000</v>
      </c>
      <c r="M47" s="347"/>
      <c r="N47" s="347"/>
      <c r="O47" s="350"/>
    </row>
    <row r="48" spans="1:17" ht="14.25" customHeight="1">
      <c r="E48" s="34" t="s">
        <v>86</v>
      </c>
      <c r="F48" s="95">
        <f>F25+1</f>
        <v>1</v>
      </c>
      <c r="G48" s="35"/>
      <c r="H48" s="351">
        <f>H25</f>
        <v>35</v>
      </c>
      <c r="I48" s="1" t="s">
        <v>49</v>
      </c>
      <c r="J48" s="352">
        <f>+H48</f>
        <v>35</v>
      </c>
      <c r="M48" s="353" t="str">
        <f>P48</f>
        <v/>
      </c>
      <c r="N48" s="353">
        <f>Q48</f>
        <v>1</v>
      </c>
      <c r="P48" s="40" t="str">
        <f>IF(A50="","EOL","")</f>
        <v/>
      </c>
      <c r="Q48" s="1">
        <f>+F48</f>
        <v>1</v>
      </c>
    </row>
    <row r="49" spans="1:15" customFormat="1" ht="26.25" customHeight="1" thickBot="1">
      <c r="E49" s="313" t="s">
        <v>317</v>
      </c>
      <c r="L49" s="314" t="s">
        <v>246</v>
      </c>
      <c r="M49" s="315"/>
      <c r="N49" s="316"/>
      <c r="O49" s="317"/>
    </row>
    <row r="50" spans="1:15" customFormat="1" ht="21" customHeight="1">
      <c r="A50" s="2662" t="s">
        <v>247</v>
      </c>
      <c r="B50" s="2663" t="s">
        <v>9</v>
      </c>
      <c r="C50" s="2664" t="s">
        <v>248</v>
      </c>
      <c r="D50" s="2665"/>
      <c r="E50" s="2668" t="s">
        <v>20</v>
      </c>
      <c r="F50" s="2679" t="s">
        <v>249</v>
      </c>
      <c r="G50" s="2679"/>
      <c r="H50" s="2668" t="s">
        <v>22</v>
      </c>
      <c r="I50" s="2668" t="s">
        <v>250</v>
      </c>
      <c r="J50" s="2679" t="s">
        <v>251</v>
      </c>
      <c r="K50" s="2679"/>
      <c r="L50" s="829" t="s">
        <v>252</v>
      </c>
      <c r="M50" s="2689" t="s">
        <v>253</v>
      </c>
      <c r="N50" s="2690"/>
      <c r="O50" s="2691"/>
    </row>
    <row r="51" spans="1:15" customFormat="1" ht="21" customHeight="1">
      <c r="A51" s="2662"/>
      <c r="B51" s="2663"/>
      <c r="C51" s="2666"/>
      <c r="D51" s="2667"/>
      <c r="E51" s="2669"/>
      <c r="F51" s="319" t="s">
        <v>254</v>
      </c>
      <c r="G51" s="320" t="s">
        <v>255</v>
      </c>
      <c r="H51" s="2669"/>
      <c r="I51" s="2669"/>
      <c r="J51" s="320" t="s">
        <v>256</v>
      </c>
      <c r="K51" s="319" t="s">
        <v>257</v>
      </c>
      <c r="L51" s="221" t="s">
        <v>258</v>
      </c>
      <c r="M51" s="2692"/>
      <c r="N51" s="2693"/>
      <c r="O51" s="2694"/>
    </row>
    <row r="52" spans="1:15" customFormat="1" ht="25" customHeight="1">
      <c r="A52" s="321"/>
      <c r="B52" s="321"/>
      <c r="C52" s="322"/>
      <c r="D52" s="323" t="s">
        <v>2964</v>
      </c>
      <c r="E52" s="324"/>
      <c r="F52" s="325"/>
      <c r="G52" s="326"/>
      <c r="H52" s="327"/>
      <c r="I52" s="328" t="s">
        <v>11</v>
      </c>
      <c r="J52" s="328" t="s">
        <v>11</v>
      </c>
      <c r="K52" s="328" t="s">
        <v>11</v>
      </c>
      <c r="L52" s="328" t="s">
        <v>11</v>
      </c>
      <c r="M52" s="329"/>
      <c r="N52" s="330"/>
      <c r="O52" s="331" t="s">
        <v>3408</v>
      </c>
    </row>
    <row r="53" spans="1:15" customFormat="1" ht="25" customHeight="1">
      <c r="A53" s="332"/>
      <c r="B53" s="332"/>
      <c r="C53" s="333"/>
      <c r="D53" s="2653" t="s">
        <v>2967</v>
      </c>
      <c r="E53" s="324" t="s">
        <v>262</v>
      </c>
      <c r="F53" s="334">
        <f>IF(L53="","",IF(L53&lt;0,"",1))</f>
        <v>1</v>
      </c>
      <c r="G53" s="335" t="str">
        <f>IF(L53="","",IF(L53&lt;0,1,""))</f>
        <v/>
      </c>
      <c r="H53" s="336" t="str">
        <f>IF(L53="","","式")</f>
        <v>式</v>
      </c>
      <c r="I53" s="337"/>
      <c r="J53" s="2557">
        <v>30808000</v>
      </c>
      <c r="K53" s="2557">
        <f>+J53+L53</f>
        <v>32509000</v>
      </c>
      <c r="L53" s="2564">
        <f>+工事1!I24</f>
        <v>1701000</v>
      </c>
      <c r="M53" s="342" t="s">
        <v>259</v>
      </c>
      <c r="N53" s="342"/>
      <c r="O53" s="343" t="s">
        <v>2948</v>
      </c>
    </row>
    <row r="54" spans="1:15" customFormat="1" ht="25" customHeight="1">
      <c r="A54" s="332"/>
      <c r="B54" s="332"/>
      <c r="C54" s="333"/>
      <c r="D54" s="2653" t="s">
        <v>2968</v>
      </c>
      <c r="E54" s="324" t="s">
        <v>262</v>
      </c>
      <c r="F54" s="334">
        <f>IF(L54="","",IF(L54&lt;0,"",1))</f>
        <v>1</v>
      </c>
      <c r="G54" s="335" t="str">
        <f>IF(L54="","",IF(L54&lt;0,1,""))</f>
        <v/>
      </c>
      <c r="H54" s="336" t="str">
        <f t="shared" ref="H54:H57" si="7">IF(L54="","","式")</f>
        <v>式</v>
      </c>
      <c r="I54" s="337"/>
      <c r="J54" s="2557">
        <v>20434000</v>
      </c>
      <c r="K54" s="2557">
        <f t="shared" ref="K54:K57" si="8">+J54+L54</f>
        <v>20434000</v>
      </c>
      <c r="L54" s="2564">
        <v>0</v>
      </c>
      <c r="M54" s="342" t="s">
        <v>259</v>
      </c>
      <c r="N54" s="342"/>
      <c r="O54" s="343"/>
    </row>
    <row r="55" spans="1:15" customFormat="1" ht="25" customHeight="1">
      <c r="A55" s="332"/>
      <c r="B55" s="332"/>
      <c r="C55" s="333"/>
      <c r="D55" s="2653" t="s">
        <v>2969</v>
      </c>
      <c r="E55" s="324" t="s">
        <v>262</v>
      </c>
      <c r="F55" s="334">
        <f t="shared" ref="F55:F57" si="9">IF(L55="","",IF(L55&lt;0,"",1))</f>
        <v>1</v>
      </c>
      <c r="G55" s="335" t="str">
        <f t="shared" ref="G55:G57" si="10">IF(L55="","",IF(L55&lt;0,1,""))</f>
        <v/>
      </c>
      <c r="H55" s="336" t="str">
        <f t="shared" si="7"/>
        <v>式</v>
      </c>
      <c r="I55" s="337"/>
      <c r="J55" s="2557">
        <v>1956000</v>
      </c>
      <c r="K55" s="2557">
        <f t="shared" si="8"/>
        <v>1956000</v>
      </c>
      <c r="L55" s="2564">
        <v>0</v>
      </c>
      <c r="M55" s="342" t="s">
        <v>259</v>
      </c>
      <c r="N55" s="342"/>
      <c r="O55" s="343"/>
    </row>
    <row r="56" spans="1:15" customFormat="1" ht="25" customHeight="1">
      <c r="A56" s="332"/>
      <c r="B56" s="332"/>
      <c r="C56" s="333"/>
      <c r="D56" s="2653" t="s">
        <v>3413</v>
      </c>
      <c r="E56" s="324" t="s">
        <v>262</v>
      </c>
      <c r="F56" s="334">
        <f t="shared" si="9"/>
        <v>1</v>
      </c>
      <c r="G56" s="335" t="str">
        <f t="shared" si="10"/>
        <v/>
      </c>
      <c r="H56" s="336" t="str">
        <f t="shared" si="7"/>
        <v>式</v>
      </c>
      <c r="I56" s="337"/>
      <c r="J56" s="2557">
        <v>100279000</v>
      </c>
      <c r="K56" s="2557">
        <f t="shared" si="8"/>
        <v>106314000</v>
      </c>
      <c r="L56" s="2564">
        <f>+工事2!I24</f>
        <v>6035000</v>
      </c>
      <c r="M56" s="2650" t="s">
        <v>259</v>
      </c>
      <c r="N56" s="2650"/>
      <c r="O56" s="343" t="s">
        <v>2949</v>
      </c>
    </row>
    <row r="57" spans="1:15" customFormat="1" ht="25" customHeight="1">
      <c r="A57" s="332"/>
      <c r="B57" s="332"/>
      <c r="C57" s="333"/>
      <c r="D57" s="2653" t="s">
        <v>3414</v>
      </c>
      <c r="E57" s="324" t="s">
        <v>262</v>
      </c>
      <c r="F57" s="334">
        <f t="shared" si="9"/>
        <v>1</v>
      </c>
      <c r="G57" s="335" t="str">
        <f t="shared" si="10"/>
        <v/>
      </c>
      <c r="H57" s="336" t="str">
        <f t="shared" si="7"/>
        <v>式</v>
      </c>
      <c r="I57" s="337"/>
      <c r="J57" s="2557">
        <v>0</v>
      </c>
      <c r="K57" s="2557">
        <f t="shared" si="8"/>
        <v>1432000</v>
      </c>
      <c r="L57" s="2564">
        <f>+工事6!I24</f>
        <v>1432000</v>
      </c>
      <c r="M57" s="342" t="s">
        <v>259</v>
      </c>
      <c r="N57" s="342"/>
      <c r="O57" s="343" t="s">
        <v>2960</v>
      </c>
    </row>
    <row r="58" spans="1:15" customFormat="1" ht="25" customHeight="1">
      <c r="A58" s="332"/>
      <c r="B58" s="332"/>
      <c r="C58" s="333"/>
      <c r="D58" s="2653" t="s">
        <v>2970</v>
      </c>
      <c r="E58" s="324" t="s">
        <v>262</v>
      </c>
      <c r="F58" s="334">
        <f t="shared" ref="F58" si="11">IF(L58="","",IF(L58&lt;0,"",1))</f>
        <v>1</v>
      </c>
      <c r="G58" s="335" t="str">
        <f t="shared" ref="G58" si="12">IF(L58="","",IF(L58&lt;0,1,""))</f>
        <v/>
      </c>
      <c r="H58" s="336" t="str">
        <f t="shared" ref="H58" si="13">IF(L58="","","式")</f>
        <v>式</v>
      </c>
      <c r="I58" s="337"/>
      <c r="J58" s="2557">
        <v>9464000</v>
      </c>
      <c r="K58" s="2557">
        <f t="shared" ref="K58" si="14">+J58+L58</f>
        <v>9530000</v>
      </c>
      <c r="L58" s="2564">
        <f>+工事3!I24</f>
        <v>66000</v>
      </c>
      <c r="M58" s="342" t="s">
        <v>259</v>
      </c>
      <c r="N58" s="342"/>
      <c r="O58" s="343" t="s">
        <v>2950</v>
      </c>
    </row>
    <row r="59" spans="1:15" customFormat="1" ht="25" customHeight="1">
      <c r="A59" s="332"/>
      <c r="B59" s="332"/>
      <c r="C59" s="333"/>
      <c r="D59" s="2661" t="s">
        <v>2971</v>
      </c>
      <c r="E59" s="324"/>
      <c r="F59" s="334"/>
      <c r="G59" s="335"/>
      <c r="H59" s="336"/>
      <c r="I59" s="337"/>
      <c r="J59" s="2557">
        <f>SUM(J53:J58)</f>
        <v>162941000</v>
      </c>
      <c r="K59" s="2557">
        <f>SUM(K53:K58)</f>
        <v>172175000</v>
      </c>
      <c r="L59" s="2564">
        <f>SUM(L53:L58)</f>
        <v>9234000</v>
      </c>
      <c r="M59" s="342"/>
      <c r="N59" s="342"/>
      <c r="O59" s="343"/>
    </row>
    <row r="60" spans="1:15" customFormat="1" ht="25" customHeight="1">
      <c r="A60" s="332"/>
      <c r="B60" s="332"/>
      <c r="C60" s="333"/>
      <c r="D60" s="2661" t="s">
        <v>13</v>
      </c>
      <c r="E60" s="324"/>
      <c r="F60" s="334">
        <f t="shared" ref="F60" si="15">IF(L60="","",IF(L60&lt;0,"",1))</f>
        <v>1</v>
      </c>
      <c r="G60" s="335" t="str">
        <f t="shared" ref="G60" si="16">IF(L60="","",IF(L60&lt;0,1,""))</f>
        <v/>
      </c>
      <c r="H60" s="336" t="str">
        <f t="shared" ref="H60" si="17">IF(L60="","","式")</f>
        <v>式</v>
      </c>
      <c r="I60" s="337"/>
      <c r="J60" s="2557">
        <f>+J59*0.1</f>
        <v>16294100</v>
      </c>
      <c r="K60" s="2557">
        <f>+K59*0.1</f>
        <v>17217500</v>
      </c>
      <c r="L60" s="2564">
        <f>+L59*0.1</f>
        <v>923400</v>
      </c>
      <c r="M60" s="342"/>
      <c r="N60" s="342"/>
      <c r="O60" s="343"/>
    </row>
    <row r="61" spans="1:15" customFormat="1" ht="25" customHeight="1">
      <c r="A61" s="332"/>
      <c r="B61" s="332"/>
      <c r="C61" s="333"/>
      <c r="D61" s="2661" t="s">
        <v>2965</v>
      </c>
      <c r="E61" s="324"/>
      <c r="F61" s="334"/>
      <c r="G61" s="335"/>
      <c r="H61" s="336"/>
      <c r="I61" s="337"/>
      <c r="J61" s="2557">
        <f>+J59+J60</f>
        <v>179235100</v>
      </c>
      <c r="K61" s="2557">
        <f>+K59+K60</f>
        <v>189392500</v>
      </c>
      <c r="L61" s="2564">
        <f>+L59+L60</f>
        <v>10157400</v>
      </c>
      <c r="M61" s="342"/>
      <c r="N61" s="342"/>
      <c r="O61" s="343"/>
    </row>
    <row r="62" spans="1:15" customFormat="1" ht="25" customHeight="1">
      <c r="A62" s="332"/>
      <c r="B62" s="332"/>
      <c r="C62" s="333"/>
      <c r="D62" s="323"/>
      <c r="E62" s="324"/>
      <c r="F62" s="334"/>
      <c r="G62" s="335"/>
      <c r="H62" s="336"/>
      <c r="I62" s="337"/>
      <c r="J62" s="2557"/>
      <c r="K62" s="2557"/>
      <c r="L62" s="2564"/>
      <c r="M62" s="342"/>
      <c r="N62" s="342"/>
      <c r="O62" s="343"/>
    </row>
    <row r="63" spans="1:15" customFormat="1" ht="25" customHeight="1">
      <c r="A63" s="332"/>
      <c r="B63" s="332"/>
      <c r="C63" s="333"/>
      <c r="D63" s="2535"/>
      <c r="E63" s="324"/>
      <c r="F63" s="334"/>
      <c r="G63" s="335"/>
      <c r="H63" s="336"/>
      <c r="I63" s="337"/>
      <c r="J63" s="2557"/>
      <c r="K63" s="2557"/>
      <c r="L63" s="2564"/>
      <c r="M63" s="342"/>
      <c r="N63" s="342"/>
      <c r="O63" s="343"/>
    </row>
    <row r="64" spans="1:15" customFormat="1" ht="25" customHeight="1">
      <c r="A64" s="332"/>
      <c r="B64" s="332"/>
      <c r="C64" s="333"/>
      <c r="D64" s="2535"/>
      <c r="E64" s="324"/>
      <c r="F64" s="334"/>
      <c r="G64" s="335"/>
      <c r="H64" s="336"/>
      <c r="I64" s="337"/>
      <c r="J64" s="2557"/>
      <c r="K64" s="2557"/>
      <c r="L64" s="2564"/>
      <c r="M64" s="342"/>
      <c r="N64" s="342"/>
      <c r="O64" s="343"/>
    </row>
    <row r="65" spans="1:17" customFormat="1" ht="25" customHeight="1">
      <c r="A65" s="332"/>
      <c r="B65" s="332"/>
      <c r="C65" s="333"/>
      <c r="D65" s="2653"/>
      <c r="E65" s="324"/>
      <c r="F65" s="334"/>
      <c r="G65" s="335"/>
      <c r="H65" s="336"/>
      <c r="I65" s="337"/>
      <c r="J65" s="2557"/>
      <c r="K65" s="2557"/>
      <c r="L65" s="2564"/>
      <c r="M65" s="342"/>
      <c r="N65" s="342"/>
      <c r="O65" s="343"/>
    </row>
    <row r="66" spans="1:17" customFormat="1" ht="25" customHeight="1">
      <c r="A66" s="332"/>
      <c r="B66" s="332"/>
      <c r="C66" s="333"/>
      <c r="D66" s="2652"/>
      <c r="E66" s="324"/>
      <c r="F66" s="334"/>
      <c r="G66" s="335"/>
      <c r="H66" s="336"/>
      <c r="I66" s="337"/>
      <c r="J66" s="2557"/>
      <c r="K66" s="2557"/>
      <c r="L66" s="2557"/>
      <c r="M66" s="342"/>
      <c r="N66" s="342"/>
      <c r="O66" s="343"/>
    </row>
    <row r="67" spans="1:17" customFormat="1" ht="25" customHeight="1">
      <c r="A67" s="332"/>
      <c r="B67" s="332"/>
      <c r="C67" s="333"/>
      <c r="D67" s="2555"/>
      <c r="E67" s="324"/>
      <c r="F67" s="334"/>
      <c r="G67" s="335"/>
      <c r="H67" s="336"/>
      <c r="I67" s="337"/>
      <c r="J67" s="2557"/>
      <c r="K67" s="2557"/>
      <c r="L67" s="2557"/>
      <c r="M67" s="342"/>
      <c r="N67" s="342"/>
      <c r="O67" s="343"/>
    </row>
    <row r="68" spans="1:17" customFormat="1" ht="25" customHeight="1">
      <c r="A68" s="332"/>
      <c r="B68" s="332"/>
      <c r="C68" s="333"/>
      <c r="D68" s="2652"/>
      <c r="E68" s="324"/>
      <c r="F68" s="334"/>
      <c r="G68" s="335"/>
      <c r="H68" s="336"/>
      <c r="I68" s="337"/>
      <c r="J68" s="2557"/>
      <c r="K68" s="2557"/>
      <c r="L68" s="2557"/>
      <c r="M68" s="342"/>
      <c r="N68" s="342"/>
      <c r="O68" s="343"/>
    </row>
    <row r="69" spans="1:17" customFormat="1" ht="25" customHeight="1">
      <c r="A69" s="332"/>
      <c r="B69" s="332"/>
      <c r="C69" s="333"/>
      <c r="D69" s="2555"/>
      <c r="E69" s="324"/>
      <c r="F69" s="342"/>
      <c r="G69" s="337"/>
      <c r="H69" s="336"/>
      <c r="I69" s="337"/>
      <c r="J69" s="2557"/>
      <c r="K69" s="2558"/>
      <c r="L69" s="2557"/>
      <c r="M69" s="342"/>
      <c r="N69" s="342"/>
      <c r="O69" s="343"/>
    </row>
    <row r="70" spans="1:17" customFormat="1" ht="25" customHeight="1" thickBot="1">
      <c r="A70" s="332"/>
      <c r="B70" s="332"/>
      <c r="C70" s="344"/>
      <c r="D70" s="2556"/>
      <c r="E70" s="346"/>
      <c r="F70" s="347"/>
      <c r="G70" s="348"/>
      <c r="H70" s="349"/>
      <c r="I70" s="348"/>
      <c r="J70" s="2559"/>
      <c r="K70" s="2559"/>
      <c r="L70" s="2559"/>
      <c r="M70" s="347"/>
      <c r="N70" s="347"/>
      <c r="O70" s="350"/>
    </row>
    <row r="71" spans="1:17" ht="14.25" customHeight="1">
      <c r="E71" s="34" t="s">
        <v>260</v>
      </c>
      <c r="F71" s="95">
        <f>F48+1</f>
        <v>2</v>
      </c>
      <c r="G71" s="35"/>
      <c r="H71" s="351">
        <f>H25</f>
        <v>35</v>
      </c>
      <c r="I71" s="1" t="s">
        <v>49</v>
      </c>
      <c r="J71" s="352">
        <f>+H71</f>
        <v>35</v>
      </c>
      <c r="M71" s="353" t="str">
        <f>P71</f>
        <v/>
      </c>
      <c r="N71" s="353">
        <f>Q71</f>
        <v>2</v>
      </c>
      <c r="P71" s="40" t="str">
        <f>IF(A73="","EOL","")</f>
        <v/>
      </c>
      <c r="Q71" s="1">
        <f>+F71</f>
        <v>2</v>
      </c>
    </row>
    <row r="72" spans="1:17" customFormat="1" ht="26.25" customHeight="1" thickBot="1">
      <c r="E72" s="313" t="s">
        <v>317</v>
      </c>
      <c r="L72" s="314" t="s">
        <v>246</v>
      </c>
      <c r="M72" s="315"/>
      <c r="N72" s="316"/>
      <c r="O72" s="317"/>
    </row>
    <row r="73" spans="1:17" customFormat="1" ht="21" customHeight="1">
      <c r="A73" s="2662" t="s">
        <v>247</v>
      </c>
      <c r="B73" s="2663" t="s">
        <v>9</v>
      </c>
      <c r="C73" s="2664" t="s">
        <v>248</v>
      </c>
      <c r="D73" s="2665"/>
      <c r="E73" s="2668" t="s">
        <v>20</v>
      </c>
      <c r="F73" s="2679" t="s">
        <v>249</v>
      </c>
      <c r="G73" s="2679"/>
      <c r="H73" s="2668" t="s">
        <v>22</v>
      </c>
      <c r="I73" s="2668" t="s">
        <v>250</v>
      </c>
      <c r="J73" s="2679" t="s">
        <v>251</v>
      </c>
      <c r="K73" s="2679"/>
      <c r="L73" s="318" t="s">
        <v>252</v>
      </c>
      <c r="M73" s="2689" t="s">
        <v>253</v>
      </c>
      <c r="N73" s="2690"/>
      <c r="O73" s="2691"/>
    </row>
    <row r="74" spans="1:17" customFormat="1" ht="21" customHeight="1">
      <c r="A74" s="2662"/>
      <c r="B74" s="2663"/>
      <c r="C74" s="2666"/>
      <c r="D74" s="2667"/>
      <c r="E74" s="2669"/>
      <c r="F74" s="319" t="s">
        <v>254</v>
      </c>
      <c r="G74" s="320" t="s">
        <v>255</v>
      </c>
      <c r="H74" s="2669"/>
      <c r="I74" s="2669"/>
      <c r="J74" s="320" t="s">
        <v>256</v>
      </c>
      <c r="K74" s="319" t="s">
        <v>257</v>
      </c>
      <c r="L74" s="221" t="s">
        <v>258</v>
      </c>
      <c r="M74" s="2692"/>
      <c r="N74" s="2693"/>
      <c r="O74" s="2694"/>
    </row>
    <row r="75" spans="1:17" customFormat="1" ht="25" customHeight="1">
      <c r="A75" s="321"/>
      <c r="B75" s="321"/>
      <c r="C75" s="322"/>
      <c r="D75" s="323"/>
      <c r="E75" s="324"/>
      <c r="F75" s="325"/>
      <c r="G75" s="326"/>
      <c r="H75" s="327"/>
      <c r="I75" s="328" t="s">
        <v>11</v>
      </c>
      <c r="J75" s="328" t="s">
        <v>11</v>
      </c>
      <c r="K75" s="328" t="s">
        <v>11</v>
      </c>
      <c r="L75" s="328" t="s">
        <v>11</v>
      </c>
      <c r="M75" s="329"/>
      <c r="N75" s="330"/>
      <c r="O75" s="331"/>
    </row>
    <row r="76" spans="1:17" customFormat="1" ht="25" customHeight="1">
      <c r="A76" s="332"/>
      <c r="B76" s="332"/>
      <c r="C76" s="333"/>
      <c r="D76" s="2535"/>
      <c r="E76" s="2645"/>
      <c r="F76" s="2646"/>
      <c r="G76" s="2647"/>
      <c r="H76" s="2648"/>
      <c r="I76" s="2649"/>
      <c r="J76" s="2564"/>
      <c r="K76" s="2564"/>
      <c r="L76" s="2564"/>
      <c r="M76" s="2650"/>
      <c r="N76" s="2650"/>
      <c r="O76" s="2651"/>
    </row>
    <row r="77" spans="1:17" customFormat="1" ht="25" customHeight="1">
      <c r="A77" s="332"/>
      <c r="B77" s="332"/>
      <c r="C77" s="333"/>
      <c r="D77" s="323" t="s">
        <v>2966</v>
      </c>
      <c r="E77" s="324"/>
      <c r="F77" s="334" t="s">
        <v>3412</v>
      </c>
      <c r="G77" s="335" t="s">
        <v>3412</v>
      </c>
      <c r="H77" s="336" t="s">
        <v>3412</v>
      </c>
      <c r="I77" s="337"/>
      <c r="J77" s="2564"/>
      <c r="K77" s="2557"/>
      <c r="L77" s="2564"/>
      <c r="M77" s="342"/>
      <c r="N77" s="342"/>
      <c r="O77" s="343" t="s">
        <v>3408</v>
      </c>
    </row>
    <row r="78" spans="1:17" customFormat="1" ht="25" customHeight="1">
      <c r="A78" s="332"/>
      <c r="B78" s="332"/>
      <c r="C78" s="333"/>
      <c r="D78" s="2653" t="s">
        <v>2967</v>
      </c>
      <c r="E78" s="2645" t="s">
        <v>262</v>
      </c>
      <c r="F78" s="334">
        <v>1</v>
      </c>
      <c r="G78" s="335" t="s">
        <v>3412</v>
      </c>
      <c r="H78" s="336" t="s">
        <v>7</v>
      </c>
      <c r="I78" s="337"/>
      <c r="J78" s="2564">
        <v>41189000</v>
      </c>
      <c r="K78" s="2557">
        <f t="shared" ref="K78:K81" si="18">+J78+L78</f>
        <v>43438000</v>
      </c>
      <c r="L78" s="2564">
        <v>2249000</v>
      </c>
      <c r="M78" s="342" t="s">
        <v>259</v>
      </c>
      <c r="N78" s="342"/>
      <c r="O78" s="343" t="s">
        <v>2951</v>
      </c>
    </row>
    <row r="79" spans="1:17" customFormat="1" ht="25" customHeight="1">
      <c r="A79" s="332"/>
      <c r="B79" s="332"/>
      <c r="C79" s="333"/>
      <c r="D79" s="2653" t="s">
        <v>2968</v>
      </c>
      <c r="E79" s="324" t="s">
        <v>262</v>
      </c>
      <c r="F79" s="334">
        <v>1</v>
      </c>
      <c r="G79" s="335" t="s">
        <v>3412</v>
      </c>
      <c r="H79" s="336" t="s">
        <v>7</v>
      </c>
      <c r="I79" s="337"/>
      <c r="J79" s="2557">
        <v>26289000</v>
      </c>
      <c r="K79" s="2557">
        <f t="shared" si="18"/>
        <v>26289000</v>
      </c>
      <c r="L79" s="2564">
        <v>0</v>
      </c>
      <c r="M79" s="342" t="s">
        <v>259</v>
      </c>
      <c r="N79" s="342"/>
      <c r="O79" s="343"/>
    </row>
    <row r="80" spans="1:17" customFormat="1" ht="25" customHeight="1">
      <c r="A80" s="332"/>
      <c r="B80" s="332"/>
      <c r="C80" s="333"/>
      <c r="D80" s="2653" t="s">
        <v>3415</v>
      </c>
      <c r="E80" s="324" t="s">
        <v>262</v>
      </c>
      <c r="F80" s="334">
        <v>1</v>
      </c>
      <c r="G80" s="335" t="s">
        <v>3412</v>
      </c>
      <c r="H80" s="336" t="s">
        <v>7</v>
      </c>
      <c r="I80" s="337"/>
      <c r="J80" s="2564">
        <v>128581000</v>
      </c>
      <c r="K80" s="2557">
        <f t="shared" si="18"/>
        <v>135277000</v>
      </c>
      <c r="L80" s="2564">
        <v>6696000</v>
      </c>
      <c r="M80" s="342" t="s">
        <v>259</v>
      </c>
      <c r="N80" s="342"/>
      <c r="O80" s="343" t="s">
        <v>2952</v>
      </c>
    </row>
    <row r="81" spans="1:17" customFormat="1" ht="25" customHeight="1">
      <c r="A81" s="332"/>
      <c r="B81" s="332"/>
      <c r="C81" s="333"/>
      <c r="D81" s="2653" t="s">
        <v>3416</v>
      </c>
      <c r="E81" s="324" t="s">
        <v>262</v>
      </c>
      <c r="F81" s="334">
        <v>1</v>
      </c>
      <c r="G81" s="335" t="s">
        <v>3412</v>
      </c>
      <c r="H81" s="336" t="s">
        <v>7</v>
      </c>
      <c r="I81" s="337"/>
      <c r="J81" s="2564">
        <v>0</v>
      </c>
      <c r="K81" s="2557">
        <f t="shared" si="18"/>
        <v>1481000</v>
      </c>
      <c r="L81" s="2564">
        <v>1481000</v>
      </c>
      <c r="M81" s="342" t="s">
        <v>259</v>
      </c>
      <c r="N81" s="342"/>
      <c r="O81" s="343" t="s">
        <v>2961</v>
      </c>
    </row>
    <row r="82" spans="1:17" customFormat="1" ht="25" customHeight="1">
      <c r="A82" s="332"/>
      <c r="B82" s="332"/>
      <c r="C82" s="333"/>
      <c r="D82" s="2653" t="s">
        <v>2971</v>
      </c>
      <c r="E82" s="324"/>
      <c r="F82" s="334"/>
      <c r="G82" s="335"/>
      <c r="H82" s="336"/>
      <c r="I82" s="337"/>
      <c r="J82" s="2557">
        <f>SUM(J78:J81)</f>
        <v>196059000</v>
      </c>
      <c r="K82" s="2557">
        <f t="shared" ref="K82:L82" si="19">SUM(K78:K81)</f>
        <v>206485000</v>
      </c>
      <c r="L82" s="2557">
        <f t="shared" si="19"/>
        <v>10426000</v>
      </c>
      <c r="M82" s="342"/>
      <c r="N82" s="342"/>
      <c r="O82" s="343"/>
    </row>
    <row r="83" spans="1:17" customFormat="1" ht="25" customHeight="1">
      <c r="A83" s="332"/>
      <c r="B83" s="332"/>
      <c r="C83" s="333"/>
      <c r="D83" s="2661" t="s">
        <v>13</v>
      </c>
      <c r="E83" s="324"/>
      <c r="F83" s="334">
        <v>1</v>
      </c>
      <c r="G83" s="335" t="s">
        <v>3412</v>
      </c>
      <c r="H83" s="336" t="s">
        <v>7</v>
      </c>
      <c r="I83" s="337"/>
      <c r="J83" s="2557">
        <f>+J82*0.1</f>
        <v>19605900</v>
      </c>
      <c r="K83" s="2557">
        <f>+K82*0.1</f>
        <v>20648500</v>
      </c>
      <c r="L83" s="2564">
        <f>+L82*0.1</f>
        <v>1042600</v>
      </c>
      <c r="M83" s="342"/>
      <c r="N83" s="342"/>
      <c r="O83" s="343"/>
    </row>
    <row r="84" spans="1:17" customFormat="1" ht="25" customHeight="1">
      <c r="A84" s="332"/>
      <c r="B84" s="332"/>
      <c r="C84" s="333"/>
      <c r="D84" s="2661" t="s">
        <v>2965</v>
      </c>
      <c r="E84" s="324"/>
      <c r="F84" s="334"/>
      <c r="G84" s="335"/>
      <c r="H84" s="336"/>
      <c r="I84" s="337"/>
      <c r="J84" s="2557">
        <f>+J82+J83</f>
        <v>215664900</v>
      </c>
      <c r="K84" s="2557">
        <f>+K82+K83</f>
        <v>227133500</v>
      </c>
      <c r="L84" s="2564">
        <f>+L82+L83</f>
        <v>11468600</v>
      </c>
      <c r="M84" s="342"/>
      <c r="N84" s="342"/>
      <c r="O84" s="343"/>
    </row>
    <row r="85" spans="1:17" customFormat="1" ht="25" customHeight="1">
      <c r="A85" s="332"/>
      <c r="B85" s="332"/>
      <c r="C85" s="333"/>
      <c r="D85" s="2535"/>
      <c r="E85" s="2645"/>
      <c r="F85" s="334"/>
      <c r="G85" s="335"/>
      <c r="H85" s="336"/>
      <c r="I85" s="337"/>
      <c r="J85" s="2564"/>
      <c r="K85" s="2564"/>
      <c r="L85" s="2564"/>
      <c r="M85" s="342"/>
      <c r="N85" s="342"/>
      <c r="O85" s="343"/>
    </row>
    <row r="86" spans="1:17" customFormat="1" ht="25" customHeight="1">
      <c r="A86" s="332"/>
      <c r="B86" s="332"/>
      <c r="C86" s="333"/>
      <c r="D86" s="2536"/>
      <c r="E86" s="324"/>
      <c r="F86" s="334"/>
      <c r="G86" s="335"/>
      <c r="H86" s="336"/>
      <c r="I86" s="337"/>
      <c r="J86" s="2564"/>
      <c r="K86" s="2557"/>
      <c r="L86" s="2564"/>
      <c r="M86" s="342"/>
      <c r="N86" s="342"/>
      <c r="O86" s="343"/>
    </row>
    <row r="87" spans="1:17" customFormat="1" ht="25" customHeight="1">
      <c r="A87" s="332"/>
      <c r="B87" s="332"/>
      <c r="C87" s="333"/>
      <c r="D87" s="2536"/>
      <c r="E87" s="324"/>
      <c r="F87" s="334"/>
      <c r="G87" s="335"/>
      <c r="H87" s="336"/>
      <c r="I87" s="337"/>
      <c r="J87" s="2564"/>
      <c r="K87" s="2564"/>
      <c r="L87" s="2564"/>
      <c r="M87" s="342"/>
      <c r="N87" s="342"/>
      <c r="O87" s="343"/>
    </row>
    <row r="88" spans="1:17" customFormat="1" ht="25" customHeight="1">
      <c r="A88" s="332"/>
      <c r="B88" s="332"/>
      <c r="C88" s="333"/>
      <c r="D88" s="2536"/>
      <c r="E88" s="324"/>
      <c r="F88" s="334"/>
      <c r="G88" s="335"/>
      <c r="H88" s="336"/>
      <c r="I88" s="337"/>
      <c r="J88" s="2564"/>
      <c r="K88" s="2564"/>
      <c r="L88" s="2564"/>
      <c r="M88" s="342"/>
      <c r="N88" s="342"/>
      <c r="O88" s="343"/>
    </row>
    <row r="89" spans="1:17" customFormat="1" ht="25" customHeight="1">
      <c r="A89" s="332"/>
      <c r="B89" s="332"/>
      <c r="C89" s="333"/>
      <c r="D89" s="323"/>
      <c r="E89" s="324"/>
      <c r="F89" s="334"/>
      <c r="G89" s="335"/>
      <c r="H89" s="336"/>
      <c r="I89" s="337"/>
      <c r="J89" s="2564"/>
      <c r="K89" s="2564"/>
      <c r="L89" s="2564"/>
      <c r="M89" s="342"/>
      <c r="N89" s="342"/>
      <c r="O89" s="343"/>
    </row>
    <row r="90" spans="1:17" customFormat="1" ht="25" customHeight="1">
      <c r="A90" s="332"/>
      <c r="B90" s="332"/>
      <c r="C90" s="333"/>
      <c r="D90" s="323"/>
      <c r="E90" s="324"/>
      <c r="F90" s="334"/>
      <c r="G90" s="335"/>
      <c r="H90" s="336"/>
      <c r="I90" s="337"/>
      <c r="J90" s="2564"/>
      <c r="K90" s="2564"/>
      <c r="L90" s="2564"/>
      <c r="M90" s="342"/>
      <c r="N90" s="342"/>
      <c r="O90" s="343"/>
    </row>
    <row r="91" spans="1:17" customFormat="1" ht="25" customHeight="1">
      <c r="A91" s="332"/>
      <c r="B91" s="332"/>
      <c r="C91" s="333"/>
      <c r="D91" s="323"/>
      <c r="E91" s="324"/>
      <c r="F91" s="334"/>
      <c r="G91" s="335"/>
      <c r="H91" s="336"/>
      <c r="I91" s="337"/>
      <c r="J91" s="2557"/>
      <c r="K91" s="2557"/>
      <c r="L91" s="2557"/>
      <c r="M91" s="342"/>
      <c r="N91" s="342"/>
      <c r="O91" s="343"/>
    </row>
    <row r="92" spans="1:17" customFormat="1" ht="25" customHeight="1">
      <c r="A92" s="332"/>
      <c r="B92" s="332"/>
      <c r="C92" s="333"/>
      <c r="D92" s="2555"/>
      <c r="E92" s="324"/>
      <c r="F92" s="342"/>
      <c r="G92" s="337"/>
      <c r="H92" s="336"/>
      <c r="I92" s="337"/>
      <c r="J92" s="2557"/>
      <c r="K92" s="2558"/>
      <c r="L92" s="2557"/>
      <c r="M92" s="342"/>
      <c r="N92" s="342"/>
      <c r="O92" s="343"/>
    </row>
    <row r="93" spans="1:17" customFormat="1" ht="25" customHeight="1" thickBot="1">
      <c r="A93" s="332"/>
      <c r="B93" s="332"/>
      <c r="C93" s="344"/>
      <c r="D93" s="2556" t="s">
        <v>2972</v>
      </c>
      <c r="E93" s="346"/>
      <c r="F93" s="347"/>
      <c r="G93" s="348"/>
      <c r="H93" s="349"/>
      <c r="I93" s="348"/>
      <c r="J93" s="2559">
        <f>+J61+J84</f>
        <v>394900000</v>
      </c>
      <c r="K93" s="2559">
        <f>+K61+K84</f>
        <v>416526000</v>
      </c>
      <c r="L93" s="2559">
        <f t="shared" ref="L93" si="20">+L61+L84</f>
        <v>21626000</v>
      </c>
      <c r="M93" s="347"/>
      <c r="N93" s="347"/>
      <c r="O93" s="350"/>
    </row>
    <row r="94" spans="1:17" ht="14.25" customHeight="1">
      <c r="E94" s="34" t="s">
        <v>260</v>
      </c>
      <c r="F94" s="95">
        <f>F71+1</f>
        <v>3</v>
      </c>
      <c r="G94" s="35"/>
      <c r="H94" s="351">
        <f>+H25</f>
        <v>35</v>
      </c>
      <c r="I94" s="1" t="s">
        <v>49</v>
      </c>
      <c r="J94" s="352">
        <f>+H94</f>
        <v>35</v>
      </c>
      <c r="M94" s="353" t="str">
        <f>P94</f>
        <v>EOL</v>
      </c>
      <c r="N94" s="353">
        <f>Q94</f>
        <v>3</v>
      </c>
      <c r="P94" s="40" t="str">
        <f>IF(A96="","EOL","")</f>
        <v>EOL</v>
      </c>
      <c r="Q94" s="1">
        <f>+F94</f>
        <v>3</v>
      </c>
    </row>
  </sheetData>
  <mergeCells count="53">
    <mergeCell ref="L1:O1"/>
    <mergeCell ref="M73:O74"/>
    <mergeCell ref="O20:O22"/>
    <mergeCell ref="L17:O17"/>
    <mergeCell ref="L18:N18"/>
    <mergeCell ref="O18:O19"/>
    <mergeCell ref="L2:M2"/>
    <mergeCell ref="L7:M7"/>
    <mergeCell ref="N3:O3"/>
    <mergeCell ref="N4:O4"/>
    <mergeCell ref="L5:M5"/>
    <mergeCell ref="M19:N19"/>
    <mergeCell ref="F73:G73"/>
    <mergeCell ref="H73:H74"/>
    <mergeCell ref="I73:I74"/>
    <mergeCell ref="J73:K73"/>
    <mergeCell ref="M20:N22"/>
    <mergeCell ref="L20:L22"/>
    <mergeCell ref="H50:H51"/>
    <mergeCell ref="I50:I51"/>
    <mergeCell ref="J50:K50"/>
    <mergeCell ref="H27:H28"/>
    <mergeCell ref="I27:I28"/>
    <mergeCell ref="M50:O51"/>
    <mergeCell ref="J27:K27"/>
    <mergeCell ref="M27:O28"/>
    <mergeCell ref="F27:G27"/>
    <mergeCell ref="F50:G50"/>
    <mergeCell ref="C2:D2"/>
    <mergeCell ref="C3:D3"/>
    <mergeCell ref="D11:N11"/>
    <mergeCell ref="C13:O13"/>
    <mergeCell ref="L3:M3"/>
    <mergeCell ref="L4:M4"/>
    <mergeCell ref="N7:O7"/>
    <mergeCell ref="N2:O2"/>
    <mergeCell ref="L8:M9"/>
    <mergeCell ref="N8:O9"/>
    <mergeCell ref="L6:M6"/>
    <mergeCell ref="N6:O6"/>
    <mergeCell ref="N5:O5"/>
    <mergeCell ref="A73:A74"/>
    <mergeCell ref="B73:B74"/>
    <mergeCell ref="C73:D74"/>
    <mergeCell ref="E73:E74"/>
    <mergeCell ref="A27:A28"/>
    <mergeCell ref="B27:B28"/>
    <mergeCell ref="C27:D28"/>
    <mergeCell ref="E27:E28"/>
    <mergeCell ref="A50:A51"/>
    <mergeCell ref="B50:B51"/>
    <mergeCell ref="C50:D51"/>
    <mergeCell ref="E50:E51"/>
  </mergeCells>
  <phoneticPr fontId="2"/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71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Z25"/>
  <sheetViews>
    <sheetView zoomScaleNormal="100" zoomScaleSheetLayoutView="85" workbookViewId="0">
      <selection activeCell="C9" sqref="C9"/>
    </sheetView>
  </sheetViews>
  <sheetFormatPr baseColWidth="10" defaultColWidth="6.6640625" defaultRowHeight="26.25" customHeight="1"/>
  <cols>
    <col min="1" max="1" width="2.6640625" style="6" customWidth="1"/>
    <col min="2" max="2" width="3.5" style="6" customWidth="1"/>
    <col min="3" max="3" width="24.6640625" style="1" customWidth="1"/>
    <col min="4" max="4" width="20.6640625" style="1" customWidth="1"/>
    <col min="5" max="5" width="15.6640625" style="2" customWidth="1"/>
    <col min="6" max="6" width="9.1640625" style="1" customWidth="1"/>
    <col min="7" max="7" width="11.6640625" style="3" customWidth="1"/>
    <col min="8" max="9" width="11.6640625" style="4" customWidth="1"/>
    <col min="10" max="10" width="9.6640625" style="1" customWidth="1"/>
    <col min="11" max="12" width="13.1640625" style="1" customWidth="1"/>
    <col min="13" max="14" width="6.6640625" style="1" customWidth="1"/>
    <col min="15" max="16" width="4.83203125" style="1" customWidth="1"/>
    <col min="17" max="23" width="15.6640625" style="1" customWidth="1"/>
    <col min="24" max="25" width="6.6640625" style="1"/>
    <col min="26" max="26" width="6.6640625" style="499"/>
    <col min="27" max="16384" width="6.6640625" style="1"/>
  </cols>
  <sheetData>
    <row r="1" spans="1:26" ht="20.25" customHeight="1">
      <c r="B1" s="1"/>
      <c r="E1" s="15"/>
      <c r="F1" s="50">
        <v>0</v>
      </c>
      <c r="H1" s="17"/>
      <c r="I1" s="1"/>
      <c r="J1" s="19"/>
      <c r="K1" s="497"/>
      <c r="L1" s="498" t="s">
        <v>335</v>
      </c>
      <c r="Z1" s="499" t="s">
        <v>336</v>
      </c>
    </row>
    <row r="2" spans="1:26" ht="20.25" customHeight="1">
      <c r="C2" s="37" t="s">
        <v>79</v>
      </c>
      <c r="E2" s="36" t="s">
        <v>50</v>
      </c>
      <c r="F2" s="500">
        <f>VLOOKUP("EOL",表紙!$M$25:$N$65572,2,FALSE)</f>
        <v>3</v>
      </c>
      <c r="G2" s="1" t="s">
        <v>192</v>
      </c>
      <c r="H2" s="4">
        <f>表紙!H25</f>
        <v>35</v>
      </c>
      <c r="I2" s="4" t="s">
        <v>56</v>
      </c>
      <c r="J2" s="39">
        <f>VLOOKUP("EOL",$M$4:$N$65766,2,FALSE)</f>
        <v>4</v>
      </c>
      <c r="K2" s="501"/>
      <c r="L2" s="502">
        <v>1</v>
      </c>
      <c r="Z2" s="499" t="s">
        <v>337</v>
      </c>
    </row>
    <row r="3" spans="1:26" ht="26.25" customHeight="1" thickBot="1">
      <c r="A3" s="2702" t="s">
        <v>338</v>
      </c>
      <c r="B3" s="2702"/>
      <c r="C3" s="2702"/>
      <c r="D3" s="2702"/>
      <c r="E3" s="2702"/>
      <c r="F3" s="2702"/>
      <c r="G3" s="2702"/>
      <c r="H3" s="2702"/>
      <c r="I3" s="2702"/>
      <c r="J3" s="2702"/>
      <c r="K3" s="2702"/>
      <c r="L3" s="2702"/>
    </row>
    <row r="4" spans="1:26" s="506" customFormat="1" ht="26.25" customHeight="1" thickBot="1">
      <c r="A4" s="2702"/>
      <c r="B4" s="2702"/>
      <c r="C4" s="2702"/>
      <c r="D4" s="2702"/>
      <c r="E4" s="2702"/>
      <c r="F4" s="2703"/>
      <c r="G4" s="503" t="s">
        <v>339</v>
      </c>
      <c r="H4" s="504"/>
      <c r="I4" s="505" t="s">
        <v>340</v>
      </c>
      <c r="J4" s="504"/>
      <c r="K4" s="753" t="s">
        <v>2391</v>
      </c>
      <c r="L4" s="504"/>
      <c r="Z4" s="507"/>
    </row>
    <row r="5" spans="1:26" ht="42" customHeight="1">
      <c r="A5" s="2708" t="s">
        <v>341</v>
      </c>
      <c r="B5" s="2709"/>
      <c r="C5" s="508" t="s">
        <v>342</v>
      </c>
      <c r="D5" s="509" t="s">
        <v>343</v>
      </c>
      <c r="E5" s="509" t="s">
        <v>344</v>
      </c>
      <c r="F5" s="510" t="s">
        <v>345</v>
      </c>
      <c r="G5" s="510" t="s">
        <v>2392</v>
      </c>
      <c r="H5" s="511" t="s">
        <v>2393</v>
      </c>
      <c r="I5" s="758" t="s">
        <v>280</v>
      </c>
      <c r="J5" s="2710" t="s">
        <v>2460</v>
      </c>
      <c r="K5" s="2711"/>
      <c r="L5" s="2712"/>
      <c r="M5" s="512"/>
      <c r="N5" s="222"/>
      <c r="O5" s="222"/>
      <c r="P5" s="222"/>
      <c r="Q5" s="3"/>
    </row>
    <row r="6" spans="1:26" ht="24" customHeight="1">
      <c r="A6" s="2704"/>
      <c r="B6" s="2705"/>
      <c r="C6" s="130"/>
      <c r="D6" s="130"/>
      <c r="E6" s="513"/>
      <c r="F6" s="514"/>
      <c r="G6" s="754"/>
      <c r="H6" s="754"/>
      <c r="I6" s="802" t="str">
        <f>IFERROR(INDEX(資産クラス!$A$90:$O$328,MATCH(資産管理明細書!J6,資産クラス!$C$90:$C$328,0),MATCH(資産管理明細書!A6,資産クラス!$A$95:$O$95,0)),"")</f>
        <v/>
      </c>
      <c r="J6" s="759"/>
      <c r="K6" s="2706" t="str">
        <f>IFERROR(VLOOKUP(J6,資産クラス一覧表!A$2:D$1687,2,FALSE),"")</f>
        <v/>
      </c>
      <c r="L6" s="2707"/>
      <c r="P6" s="515" t="s">
        <v>346</v>
      </c>
      <c r="Q6" s="516" t="s">
        <v>347</v>
      </c>
    </row>
    <row r="7" spans="1:26" ht="24" customHeight="1">
      <c r="A7" s="2704"/>
      <c r="B7" s="2705"/>
      <c r="C7" s="130"/>
      <c r="D7" s="130"/>
      <c r="E7" s="513"/>
      <c r="F7" s="514"/>
      <c r="G7" s="754"/>
      <c r="H7" s="754"/>
      <c r="I7" s="802" t="str">
        <f>IFERROR(INDEX(資産クラス!$A$90:$O$328,MATCH(資産管理明細書!J7,資産クラス!$C$90:$C$328,0),MATCH(資産管理明細書!A7,資産クラス!$A$95:$O$95,0)),"")</f>
        <v/>
      </c>
      <c r="J7" s="759"/>
      <c r="K7" s="2706" t="str">
        <f>IFERROR(VLOOKUP(J7,資産クラス一覧表!A$2:D$1687,2,FALSE),"")</f>
        <v/>
      </c>
      <c r="L7" s="2707"/>
      <c r="P7" s="515" t="s">
        <v>348</v>
      </c>
      <c r="Q7" s="516" t="s">
        <v>349</v>
      </c>
    </row>
    <row r="8" spans="1:26" ht="24" customHeight="1">
      <c r="A8" s="2704"/>
      <c r="B8" s="2705"/>
      <c r="C8" s="130" t="s">
        <v>3407</v>
      </c>
      <c r="D8" s="130"/>
      <c r="E8" s="513"/>
      <c r="F8" s="514"/>
      <c r="G8" s="754"/>
      <c r="H8" s="754"/>
      <c r="I8" s="802" t="str">
        <f>IFERROR(INDEX(資産クラス!$A$90:$O$328,MATCH(資産管理明細書!J8,資産クラス!$C$90:$C$328,0),MATCH(資産管理明細書!A8,資産クラス!$A$95:$O$95,0)),"")</f>
        <v/>
      </c>
      <c r="J8" s="759"/>
      <c r="K8" s="2706" t="str">
        <f>IFERROR(VLOOKUP(J8,資産クラス一覧表!A$2:D$1687,2,FALSE),"")</f>
        <v/>
      </c>
      <c r="L8" s="2707"/>
      <c r="N8" s="513"/>
      <c r="P8" s="515" t="s">
        <v>350</v>
      </c>
      <c r="Q8" s="516" t="s">
        <v>351</v>
      </c>
    </row>
    <row r="9" spans="1:26" ht="24" customHeight="1">
      <c r="A9" s="2704"/>
      <c r="B9" s="2705"/>
      <c r="C9" s="130"/>
      <c r="D9" s="130"/>
      <c r="E9" s="513"/>
      <c r="F9" s="514"/>
      <c r="G9" s="754"/>
      <c r="H9" s="754"/>
      <c r="I9" s="802" t="str">
        <f>IFERROR(INDEX(資産クラス!$A$90:$O$328,MATCH(資産管理明細書!J9,資産クラス!$C$90:$C$328,0),MATCH(資産管理明細書!A9,資産クラス!$A$95:$O$95,0)),"")</f>
        <v/>
      </c>
      <c r="J9" s="759"/>
      <c r="K9" s="2706" t="str">
        <f>IFERROR(VLOOKUP(J9,資産クラス一覧表!A$2:D$1687,2,FALSE),"")</f>
        <v/>
      </c>
      <c r="L9" s="2707"/>
      <c r="P9" s="515" t="s">
        <v>352</v>
      </c>
      <c r="Q9" s="516" t="s">
        <v>353</v>
      </c>
    </row>
    <row r="10" spans="1:26" ht="24" customHeight="1">
      <c r="A10" s="2704"/>
      <c r="B10" s="2705"/>
      <c r="C10" s="130"/>
      <c r="D10" s="130"/>
      <c r="E10" s="513"/>
      <c r="F10" s="514"/>
      <c r="G10" s="754"/>
      <c r="H10" s="754"/>
      <c r="I10" s="802" t="str">
        <f>IFERROR(INDEX(資産クラス!$A$90:$O$328,MATCH(資産管理明細書!J10,資産クラス!$C$90:$C$328,0),MATCH(資産管理明細書!A10,資産クラス!$A$95:$O$95,0)),"")</f>
        <v/>
      </c>
      <c r="J10" s="759"/>
      <c r="K10" s="2706" t="str">
        <f>IFERROR(VLOOKUP(J10,資産クラス一覧表!A$2:D$1687,2,FALSE),"")</f>
        <v/>
      </c>
      <c r="L10" s="2707"/>
      <c r="P10" s="515" t="s">
        <v>354</v>
      </c>
      <c r="Q10" s="516" t="s">
        <v>355</v>
      </c>
    </row>
    <row r="11" spans="1:26" ht="24" customHeight="1">
      <c r="A11" s="2704"/>
      <c r="B11" s="2705"/>
      <c r="C11" s="130"/>
      <c r="D11" s="130"/>
      <c r="E11" s="513"/>
      <c r="F11" s="514"/>
      <c r="G11" s="754"/>
      <c r="H11" s="754"/>
      <c r="I11" s="802" t="str">
        <f>IFERROR(INDEX(資産クラス!$A$90:$O$328,MATCH(資産管理明細書!J11,資産クラス!$C$90:$C$328,0),MATCH(資産管理明細書!A11,資産クラス!$A$95:$O$95,0)),"")</f>
        <v/>
      </c>
      <c r="J11" s="759"/>
      <c r="K11" s="2706" t="str">
        <f>IFERROR(VLOOKUP(J11,資産クラス一覧表!A$2:D$1687,2,FALSE),"")</f>
        <v/>
      </c>
      <c r="L11" s="2707"/>
      <c r="P11" s="515" t="s">
        <v>356</v>
      </c>
      <c r="Q11" s="516" t="s">
        <v>357</v>
      </c>
    </row>
    <row r="12" spans="1:26" ht="24" customHeight="1">
      <c r="A12" s="2704"/>
      <c r="B12" s="2705"/>
      <c r="C12" s="130"/>
      <c r="D12" s="130"/>
      <c r="E12" s="513"/>
      <c r="F12" s="514"/>
      <c r="G12" s="754"/>
      <c r="H12" s="754"/>
      <c r="I12" s="802" t="str">
        <f>IFERROR(INDEX(資産クラス!$A$90:$O$328,MATCH(資産管理明細書!J12,資産クラス!$C$90:$C$328,0),MATCH(資産管理明細書!A12,資産クラス!$A$95:$O$95,0)),"")</f>
        <v/>
      </c>
      <c r="J12" s="759"/>
      <c r="K12" s="2706" t="str">
        <f>IFERROR(VLOOKUP(J12,資産クラス一覧表!A$2:D$1687,2,FALSE),"")</f>
        <v/>
      </c>
      <c r="L12" s="2707"/>
      <c r="P12" s="515" t="s">
        <v>358</v>
      </c>
      <c r="Q12" s="516" t="s">
        <v>359</v>
      </c>
    </row>
    <row r="13" spans="1:26" ht="24" customHeight="1">
      <c r="A13" s="2704"/>
      <c r="B13" s="2705"/>
      <c r="C13" s="130"/>
      <c r="D13" s="130"/>
      <c r="E13" s="513"/>
      <c r="F13" s="514"/>
      <c r="G13" s="754"/>
      <c r="H13" s="754"/>
      <c r="I13" s="802" t="str">
        <f>IFERROR(INDEX(資産クラス!$A$90:$O$328,MATCH(資産管理明細書!J13,資産クラス!$C$90:$C$328,0),MATCH(資産管理明細書!A13,資産クラス!$A$95:$O$95,0)),"")</f>
        <v/>
      </c>
      <c r="J13" s="759"/>
      <c r="K13" s="2706" t="str">
        <f>IFERROR(VLOOKUP(J13,資産クラス一覧表!A$2:D$1687,2,FALSE),"")</f>
        <v/>
      </c>
      <c r="L13" s="2707"/>
      <c r="P13" s="515" t="s">
        <v>360</v>
      </c>
      <c r="Q13" s="516" t="s">
        <v>361</v>
      </c>
    </row>
    <row r="14" spans="1:26" ht="24" customHeight="1">
      <c r="A14" s="2704"/>
      <c r="B14" s="2705"/>
      <c r="C14" s="130"/>
      <c r="D14" s="130"/>
      <c r="E14" s="513"/>
      <c r="F14" s="514"/>
      <c r="G14" s="754"/>
      <c r="H14" s="754"/>
      <c r="I14" s="802" t="str">
        <f>IFERROR(INDEX(資産クラス!$A$90:$O$328,MATCH(資産管理明細書!J14,資産クラス!$C$90:$C$328,0),MATCH(資産管理明細書!A14,資産クラス!$A$95:$O$95,0)),"")</f>
        <v/>
      </c>
      <c r="J14" s="759"/>
      <c r="K14" s="2706" t="str">
        <f>IFERROR(VLOOKUP(J14,資産クラス一覧表!A$2:D$1687,2,FALSE),"")</f>
        <v/>
      </c>
      <c r="L14" s="2707"/>
      <c r="P14" s="515" t="s">
        <v>362</v>
      </c>
      <c r="Q14" s="516" t="s">
        <v>363</v>
      </c>
    </row>
    <row r="15" spans="1:26" ht="24" customHeight="1">
      <c r="A15" s="2704"/>
      <c r="B15" s="2705"/>
      <c r="C15" s="130"/>
      <c r="D15" s="130"/>
      <c r="E15" s="513"/>
      <c r="F15" s="514"/>
      <c r="G15" s="754"/>
      <c r="H15" s="754"/>
      <c r="I15" s="802" t="str">
        <f>IFERROR(INDEX(資産クラス!$A$90:$O$328,MATCH(資産管理明細書!J15,資産クラス!$C$90:$C$328,0),MATCH(資産管理明細書!A15,資産クラス!$A$95:$O$95,0)),"")</f>
        <v/>
      </c>
      <c r="J15" s="759"/>
      <c r="K15" s="2706" t="str">
        <f>IFERROR(VLOOKUP(J15,資産クラス一覧表!A$2:D$1687,2,FALSE),"")</f>
        <v/>
      </c>
      <c r="L15" s="2707"/>
      <c r="P15" s="515" t="s">
        <v>364</v>
      </c>
      <c r="Q15" s="516" t="s">
        <v>365</v>
      </c>
    </row>
    <row r="16" spans="1:26" ht="24" customHeight="1">
      <c r="A16" s="2704"/>
      <c r="B16" s="2705"/>
      <c r="C16" s="130"/>
      <c r="D16" s="130"/>
      <c r="E16" s="513"/>
      <c r="F16" s="514"/>
      <c r="G16" s="754"/>
      <c r="H16" s="754"/>
      <c r="I16" s="802" t="str">
        <f>IFERROR(INDEX(資産クラス!$A$90:$O$328,MATCH(資産管理明細書!J16,資産クラス!$C$90:$C$328,0),MATCH(資産管理明細書!A16,資産クラス!$A$95:$O$95,0)),"")</f>
        <v/>
      </c>
      <c r="J16" s="759"/>
      <c r="K16" s="2706" t="str">
        <f>IFERROR(VLOOKUP(J16,資産クラス一覧表!A$2:D$1687,2,FALSE),"")</f>
        <v/>
      </c>
      <c r="L16" s="2707"/>
      <c r="P16" s="515" t="s">
        <v>366</v>
      </c>
      <c r="Q16" s="516" t="s">
        <v>367</v>
      </c>
    </row>
    <row r="17" spans="1:17" ht="24" customHeight="1">
      <c r="A17" s="2704"/>
      <c r="B17" s="2705"/>
      <c r="C17" s="130"/>
      <c r="D17" s="130"/>
      <c r="E17" s="513"/>
      <c r="F17" s="514"/>
      <c r="G17" s="754"/>
      <c r="H17" s="754"/>
      <c r="I17" s="802" t="str">
        <f>IFERROR(INDEX(資産クラス!$A$90:$O$328,MATCH(資産管理明細書!J17,資産クラス!$C$90:$C$328,0),MATCH(資産管理明細書!A17,資産クラス!$A$95:$O$95,0)),"")</f>
        <v/>
      </c>
      <c r="J17" s="759"/>
      <c r="K17" s="2706" t="str">
        <f>IFERROR(VLOOKUP(J17,資産クラス一覧表!A$2:D$1687,2,FALSE),"")</f>
        <v/>
      </c>
      <c r="L17" s="2707"/>
      <c r="P17" s="515" t="s">
        <v>368</v>
      </c>
      <c r="Q17" s="516" t="s">
        <v>369</v>
      </c>
    </row>
    <row r="18" spans="1:17" ht="24" customHeight="1">
      <c r="A18" s="2704"/>
      <c r="B18" s="2705"/>
      <c r="C18" s="130"/>
      <c r="D18" s="130"/>
      <c r="E18" s="513"/>
      <c r="F18" s="514"/>
      <c r="G18" s="754"/>
      <c r="H18" s="754"/>
      <c r="I18" s="802" t="str">
        <f>IFERROR(INDEX(資産クラス!$A$90:$O$328,MATCH(資産管理明細書!J18,資産クラス!$C$90:$C$328,0),MATCH(資産管理明細書!A18,資産クラス!$A$95:$O$95,0)),"")</f>
        <v/>
      </c>
      <c r="J18" s="759"/>
      <c r="K18" s="2706" t="str">
        <f>IFERROR(VLOOKUP(J18,資産クラス一覧表!A$2:D$1687,2,FALSE),"")</f>
        <v/>
      </c>
      <c r="L18" s="2707"/>
      <c r="P18" s="515" t="s">
        <v>370</v>
      </c>
      <c r="Q18" s="516" t="s">
        <v>371</v>
      </c>
    </row>
    <row r="19" spans="1:17" ht="24" customHeight="1">
      <c r="A19" s="2704"/>
      <c r="B19" s="2705"/>
      <c r="C19" s="130"/>
      <c r="D19" s="130"/>
      <c r="E19" s="513"/>
      <c r="F19" s="514"/>
      <c r="G19" s="754"/>
      <c r="H19" s="754"/>
      <c r="I19" s="802" t="str">
        <f>IFERROR(INDEX(資産クラス!$A$90:$O$328,MATCH(資産管理明細書!J19,資産クラス!$C$90:$C$328,0),MATCH(資産管理明細書!A19,資産クラス!$A$95:$O$95,0)),"")</f>
        <v/>
      </c>
      <c r="J19" s="759"/>
      <c r="K19" s="2706" t="str">
        <f>IFERROR(VLOOKUP(J19,資産クラス一覧表!A$2:D$1687,2,FALSE),"")</f>
        <v/>
      </c>
      <c r="L19" s="2707"/>
      <c r="P19" s="515" t="s">
        <v>372</v>
      </c>
      <c r="Q19" s="516" t="s">
        <v>373</v>
      </c>
    </row>
    <row r="20" spans="1:17" ht="24" customHeight="1">
      <c r="A20" s="2704"/>
      <c r="B20" s="2705"/>
      <c r="C20" s="130"/>
      <c r="D20" s="130"/>
      <c r="E20" s="513"/>
      <c r="F20" s="514"/>
      <c r="G20" s="754"/>
      <c r="H20" s="754"/>
      <c r="I20" s="802" t="str">
        <f>IFERROR(INDEX(資産クラス!$A$90:$O$328,MATCH(資産管理明細書!J20,資産クラス!$C$90:$C$328,0),MATCH(資産管理明細書!A20,資産クラス!$A$95:$O$95,0)),"")</f>
        <v/>
      </c>
      <c r="J20" s="759"/>
      <c r="K20" s="2706" t="str">
        <f>IFERROR(VLOOKUP(J20,資産クラス一覧表!A$2:D$1687,2,FALSE),"")</f>
        <v/>
      </c>
      <c r="L20" s="2707"/>
      <c r="P20" s="515" t="s">
        <v>374</v>
      </c>
      <c r="Q20" s="516" t="s">
        <v>375</v>
      </c>
    </row>
    <row r="21" spans="1:17" ht="24" customHeight="1">
      <c r="A21" s="2704"/>
      <c r="B21" s="2705"/>
      <c r="C21" s="130"/>
      <c r="D21" s="130"/>
      <c r="E21" s="513"/>
      <c r="F21" s="514"/>
      <c r="G21" s="754"/>
      <c r="H21" s="754"/>
      <c r="I21" s="802" t="str">
        <f>IFERROR(INDEX(資産クラス!$A$90:$O$328,MATCH(資産管理明細書!J21,資産クラス!$C$90:$C$328,0),MATCH(資産管理明細書!A21,資産クラス!$A$95:$O$95,0)),"")</f>
        <v/>
      </c>
      <c r="J21" s="759"/>
      <c r="K21" s="2706" t="str">
        <f>IFERROR(VLOOKUP(J21,資産クラス一覧表!A$2:D$1687,2,FALSE),"")</f>
        <v/>
      </c>
      <c r="L21" s="2707"/>
      <c r="P21" s="515" t="s">
        <v>376</v>
      </c>
      <c r="Q21" s="516" t="s">
        <v>377</v>
      </c>
    </row>
    <row r="22" spans="1:17" ht="24" customHeight="1">
      <c r="A22" s="2704"/>
      <c r="B22" s="2705"/>
      <c r="C22" s="130"/>
      <c r="D22" s="130"/>
      <c r="E22" s="513"/>
      <c r="F22" s="514"/>
      <c r="G22" s="754"/>
      <c r="H22" s="754"/>
      <c r="I22" s="802" t="str">
        <f>IFERROR(INDEX(資産クラス!$A$90:$O$328,MATCH(資産管理明細書!J22,資産クラス!$C$90:$C$328,0),MATCH(資産管理明細書!A22,資産クラス!$A$95:$O$95,0)),"")</f>
        <v/>
      </c>
      <c r="J22" s="759"/>
      <c r="K22" s="2706" t="str">
        <f>IFERROR(VLOOKUP(J22,資産クラス一覧表!A$2:D$1687,2,FALSE),"")</f>
        <v/>
      </c>
      <c r="L22" s="2707"/>
    </row>
    <row r="23" spans="1:17" ht="24" customHeight="1">
      <c r="A23" s="2704"/>
      <c r="B23" s="2705"/>
      <c r="C23" s="130"/>
      <c r="D23" s="114"/>
      <c r="E23" s="513"/>
      <c r="F23" s="514"/>
      <c r="G23" s="754"/>
      <c r="H23" s="754"/>
      <c r="I23" s="802" t="str">
        <f>IFERROR(INDEX(資産クラス!$A$90:$O$328,MATCH(資産管理明細書!J23,資産クラス!$C$90:$C$328,0),MATCH(資産管理明細書!A23,資産クラス!$A$95:$O$95,0)),"")</f>
        <v/>
      </c>
      <c r="J23" s="759"/>
      <c r="K23" s="2706" t="str">
        <f>IFERROR(VLOOKUP(J23,資産クラス一覧表!A$2:D$1687,2,FALSE),"")</f>
        <v/>
      </c>
      <c r="L23" s="2707"/>
    </row>
    <row r="24" spans="1:17" ht="24" customHeight="1" thickBot="1">
      <c r="A24" s="2713"/>
      <c r="B24" s="2714"/>
      <c r="C24" s="517"/>
      <c r="D24" s="117"/>
      <c r="E24" s="518"/>
      <c r="F24" s="519"/>
      <c r="G24" s="756"/>
      <c r="H24" s="755"/>
      <c r="I24" s="803" t="str">
        <f>IFERROR(INDEX(資産クラス!$A$90:$O$328,MATCH(資産管理明細書!J24,資産クラス!$C$90:$C$328,0),MATCH(資産管理明細書!A24,資産クラス!$A$95:$O$95,0)),"")</f>
        <v/>
      </c>
      <c r="J24" s="760"/>
      <c r="K24" s="2715" t="str">
        <f>IFERROR(VLOOKUP(J24,資産クラス一覧表!A$2:D$1687,2,FALSE),"")</f>
        <v/>
      </c>
      <c r="L24" s="2716"/>
    </row>
    <row r="25" spans="1:17" ht="14.25" customHeight="1">
      <c r="E25" s="34" t="s">
        <v>86</v>
      </c>
      <c r="F25" s="95">
        <f>F2+1</f>
        <v>4</v>
      </c>
      <c r="G25" s="35" t="s">
        <v>87</v>
      </c>
      <c r="H25" s="4">
        <f>H2</f>
        <v>35</v>
      </c>
      <c r="M25" s="33" t="str">
        <f>IF(A27="","EOL","")</f>
        <v>EOL</v>
      </c>
      <c r="N25" s="1">
        <f>+F25</f>
        <v>4</v>
      </c>
    </row>
  </sheetData>
  <sheetProtection formatCells="0" formatColumns="0" formatRows="0" insertColumns="0" insertRows="0" insertHyperlinks="0" deleteColumns="0" deleteRows="0" sort="0" autoFilter="0" pivotTables="0"/>
  <mergeCells count="42">
    <mergeCell ref="A19:B19"/>
    <mergeCell ref="A20:B20"/>
    <mergeCell ref="A21:B21"/>
    <mergeCell ref="K19:L19"/>
    <mergeCell ref="K20:L20"/>
    <mergeCell ref="K21:L21"/>
    <mergeCell ref="A22:B22"/>
    <mergeCell ref="A23:B23"/>
    <mergeCell ref="A24:B24"/>
    <mergeCell ref="K22:L22"/>
    <mergeCell ref="K23:L23"/>
    <mergeCell ref="K24:L24"/>
    <mergeCell ref="A13:B13"/>
    <mergeCell ref="A14:B14"/>
    <mergeCell ref="A15:B15"/>
    <mergeCell ref="K13:L13"/>
    <mergeCell ref="K14:L14"/>
    <mergeCell ref="K15:L15"/>
    <mergeCell ref="A16:B16"/>
    <mergeCell ref="A17:B17"/>
    <mergeCell ref="A18:B18"/>
    <mergeCell ref="K16:L16"/>
    <mergeCell ref="K17:L17"/>
    <mergeCell ref="K18:L18"/>
    <mergeCell ref="A12:B12"/>
    <mergeCell ref="A8:B8"/>
    <mergeCell ref="A9:B9"/>
    <mergeCell ref="A10:B10"/>
    <mergeCell ref="K8:L8"/>
    <mergeCell ref="K9:L9"/>
    <mergeCell ref="K10:L10"/>
    <mergeCell ref="K11:L11"/>
    <mergeCell ref="K12:L12"/>
    <mergeCell ref="A4:F4"/>
    <mergeCell ref="A3:L3"/>
    <mergeCell ref="A7:B7"/>
    <mergeCell ref="A11:B11"/>
    <mergeCell ref="K7:L7"/>
    <mergeCell ref="A5:B5"/>
    <mergeCell ref="J5:L5"/>
    <mergeCell ref="A6:B6"/>
    <mergeCell ref="K6:L6"/>
  </mergeCells>
  <phoneticPr fontId="2"/>
  <dataValidations count="4">
    <dataValidation type="list" allowBlank="1" showInputMessage="1" showErrorMessage="1" sqref="N8 E6:E24" xr:uid="{00000000-0002-0000-0100-000000000000}">
      <formula1>"１　資産【自己調達資金】,２　費用（撤去費）【自己調達資金】,３　費用（修繕費）【自己調達資金】,４　費用（保守費）【自己調達資金】,６　資産【その他調達資金】,７　費用（撤去費）　【その他調達資金】,８　費用（修繕費）【その他調達資金】,９　費用（保守費）【その他調達資金】,Ａ　他流動資産（受託工事）,Ｂ　資産【補助対象】,Ｃ　費用（撤去費）【補助金対象】,Ｄ　費用（修繕費）【補助金対象】,Ｅ　費用（保守費）【補助金対象】,Ｗ　費用（原価企画）【自己調達資金】,Ｘ　費用【その他調達資金】"</formula1>
    </dataValidation>
    <dataValidation type="list" allowBlank="1" showInputMessage="1" sqref="K1" xr:uid="{00000000-0002-0000-0100-000001000000}">
      <formula1>"有り,無し"</formula1>
    </dataValidation>
    <dataValidation type="list" allowBlank="1" showInputMessage="1" showErrorMessage="1" sqref="F6:F24" xr:uid="{00000000-0002-0000-0100-000002000000}">
      <formula1>"1　経営戦略・グループ戦略部,2　新規事業開発部,3　総務部,4　財務部,5　調達部,6　統括部,7　駅務部,8　運転部,9　営業部,A　電気部,B　車両部,C　工務部,D　建築部,E　安全推進室,F　監査室,G　人事部,H　監査役室"</formula1>
    </dataValidation>
    <dataValidation type="list" allowBlank="1" showInputMessage="1" showErrorMessage="1" sqref="A6:B24" xr:uid="{00000000-0002-0000-0100-000003000000}">
      <formula1>"工事1,工事2,工事3,工事4,工事5,工事6,工事7,工事8,工事10,工事11,工事12,工事13,工事14,工事15,工事16,工事17,工事18,工事19,工事20"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cellComments="asDisplayed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pageSetUpPr fitToPage="1"/>
  </sheetPr>
  <dimension ref="A1:U330"/>
  <sheetViews>
    <sheetView view="pageBreakPreview" topLeftCell="D278" zoomScale="85" zoomScaleNormal="100" zoomScaleSheetLayoutView="85" workbookViewId="0">
      <selection activeCell="J16" sqref="J16"/>
    </sheetView>
  </sheetViews>
  <sheetFormatPr baseColWidth="10" defaultColWidth="8.83203125" defaultRowHeight="13.5" customHeight="1"/>
  <cols>
    <col min="1" max="2" width="2.5" style="533" customWidth="1"/>
    <col min="3" max="3" width="9.6640625" style="533" customWidth="1"/>
    <col min="4" max="4" width="13.83203125" style="533" customWidth="1"/>
    <col min="5" max="5" width="4.33203125" style="533" customWidth="1"/>
    <col min="6" max="6" width="45.1640625" style="533" customWidth="1"/>
    <col min="7" max="7" width="15.33203125" style="533" customWidth="1"/>
    <col min="8" max="14" width="14.33203125" style="752" customWidth="1"/>
    <col min="15" max="231" width="9" style="533"/>
    <col min="232" max="232" width="2.5" style="533" customWidth="1"/>
    <col min="233" max="233" width="3.5" style="533" customWidth="1"/>
    <col min="234" max="234" width="21.5" style="533" customWidth="1"/>
    <col min="235" max="235" width="4" style="533" customWidth="1"/>
    <col min="236" max="236" width="5.33203125" style="533" customWidth="1"/>
    <col min="237" max="237" width="15.33203125" style="533" customWidth="1"/>
    <col min="238" max="245" width="14.33203125" style="533" customWidth="1"/>
    <col min="246" max="487" width="9" style="533"/>
    <col min="488" max="488" width="2.5" style="533" customWidth="1"/>
    <col min="489" max="489" width="3.5" style="533" customWidth="1"/>
    <col min="490" max="490" width="21.5" style="533" customWidth="1"/>
    <col min="491" max="491" width="4" style="533" customWidth="1"/>
    <col min="492" max="492" width="5.33203125" style="533" customWidth="1"/>
    <col min="493" max="493" width="15.33203125" style="533" customWidth="1"/>
    <col min="494" max="501" width="14.33203125" style="533" customWidth="1"/>
    <col min="502" max="743" width="9" style="533"/>
    <col min="744" max="744" width="2.5" style="533" customWidth="1"/>
    <col min="745" max="745" width="3.5" style="533" customWidth="1"/>
    <col min="746" max="746" width="21.5" style="533" customWidth="1"/>
    <col min="747" max="747" width="4" style="533" customWidth="1"/>
    <col min="748" max="748" width="5.33203125" style="533" customWidth="1"/>
    <col min="749" max="749" width="15.33203125" style="533" customWidth="1"/>
    <col min="750" max="757" width="14.33203125" style="533" customWidth="1"/>
    <col min="758" max="999" width="9" style="533"/>
    <col min="1000" max="1000" width="2.5" style="533" customWidth="1"/>
    <col min="1001" max="1001" width="3.5" style="533" customWidth="1"/>
    <col min="1002" max="1002" width="21.5" style="533" customWidth="1"/>
    <col min="1003" max="1003" width="4" style="533" customWidth="1"/>
    <col min="1004" max="1004" width="5.33203125" style="533" customWidth="1"/>
    <col min="1005" max="1005" width="15.33203125" style="533" customWidth="1"/>
    <col min="1006" max="1013" width="14.33203125" style="533" customWidth="1"/>
    <col min="1014" max="1255" width="9" style="533"/>
    <col min="1256" max="1256" width="2.5" style="533" customWidth="1"/>
    <col min="1257" max="1257" width="3.5" style="533" customWidth="1"/>
    <col min="1258" max="1258" width="21.5" style="533" customWidth="1"/>
    <col min="1259" max="1259" width="4" style="533" customWidth="1"/>
    <col min="1260" max="1260" width="5.33203125" style="533" customWidth="1"/>
    <col min="1261" max="1261" width="15.33203125" style="533" customWidth="1"/>
    <col min="1262" max="1269" width="14.33203125" style="533" customWidth="1"/>
    <col min="1270" max="1511" width="9" style="533"/>
    <col min="1512" max="1512" width="2.5" style="533" customWidth="1"/>
    <col min="1513" max="1513" width="3.5" style="533" customWidth="1"/>
    <col min="1514" max="1514" width="21.5" style="533" customWidth="1"/>
    <col min="1515" max="1515" width="4" style="533" customWidth="1"/>
    <col min="1516" max="1516" width="5.33203125" style="533" customWidth="1"/>
    <col min="1517" max="1517" width="15.33203125" style="533" customWidth="1"/>
    <col min="1518" max="1525" width="14.33203125" style="533" customWidth="1"/>
    <col min="1526" max="1767" width="9" style="533"/>
    <col min="1768" max="1768" width="2.5" style="533" customWidth="1"/>
    <col min="1769" max="1769" width="3.5" style="533" customWidth="1"/>
    <col min="1770" max="1770" width="21.5" style="533" customWidth="1"/>
    <col min="1771" max="1771" width="4" style="533" customWidth="1"/>
    <col min="1772" max="1772" width="5.33203125" style="533" customWidth="1"/>
    <col min="1773" max="1773" width="15.33203125" style="533" customWidth="1"/>
    <col min="1774" max="1781" width="14.33203125" style="533" customWidth="1"/>
    <col min="1782" max="2023" width="9" style="533"/>
    <col min="2024" max="2024" width="2.5" style="533" customWidth="1"/>
    <col min="2025" max="2025" width="3.5" style="533" customWidth="1"/>
    <col min="2026" max="2026" width="21.5" style="533" customWidth="1"/>
    <col min="2027" max="2027" width="4" style="533" customWidth="1"/>
    <col min="2028" max="2028" width="5.33203125" style="533" customWidth="1"/>
    <col min="2029" max="2029" width="15.33203125" style="533" customWidth="1"/>
    <col min="2030" max="2037" width="14.33203125" style="533" customWidth="1"/>
    <col min="2038" max="2279" width="9" style="533"/>
    <col min="2280" max="2280" width="2.5" style="533" customWidth="1"/>
    <col min="2281" max="2281" width="3.5" style="533" customWidth="1"/>
    <col min="2282" max="2282" width="21.5" style="533" customWidth="1"/>
    <col min="2283" max="2283" width="4" style="533" customWidth="1"/>
    <col min="2284" max="2284" width="5.33203125" style="533" customWidth="1"/>
    <col min="2285" max="2285" width="15.33203125" style="533" customWidth="1"/>
    <col min="2286" max="2293" width="14.33203125" style="533" customWidth="1"/>
    <col min="2294" max="2535" width="9" style="533"/>
    <col min="2536" max="2536" width="2.5" style="533" customWidth="1"/>
    <col min="2537" max="2537" width="3.5" style="533" customWidth="1"/>
    <col min="2538" max="2538" width="21.5" style="533" customWidth="1"/>
    <col min="2539" max="2539" width="4" style="533" customWidth="1"/>
    <col min="2540" max="2540" width="5.33203125" style="533" customWidth="1"/>
    <col min="2541" max="2541" width="15.33203125" style="533" customWidth="1"/>
    <col min="2542" max="2549" width="14.33203125" style="533" customWidth="1"/>
    <col min="2550" max="2791" width="9" style="533"/>
    <col min="2792" max="2792" width="2.5" style="533" customWidth="1"/>
    <col min="2793" max="2793" width="3.5" style="533" customWidth="1"/>
    <col min="2794" max="2794" width="21.5" style="533" customWidth="1"/>
    <col min="2795" max="2795" width="4" style="533" customWidth="1"/>
    <col min="2796" max="2796" width="5.33203125" style="533" customWidth="1"/>
    <col min="2797" max="2797" width="15.33203125" style="533" customWidth="1"/>
    <col min="2798" max="2805" width="14.33203125" style="533" customWidth="1"/>
    <col min="2806" max="3047" width="9" style="533"/>
    <col min="3048" max="3048" width="2.5" style="533" customWidth="1"/>
    <col min="3049" max="3049" width="3.5" style="533" customWidth="1"/>
    <col min="3050" max="3050" width="21.5" style="533" customWidth="1"/>
    <col min="3051" max="3051" width="4" style="533" customWidth="1"/>
    <col min="3052" max="3052" width="5.33203125" style="533" customWidth="1"/>
    <col min="3053" max="3053" width="15.33203125" style="533" customWidth="1"/>
    <col min="3054" max="3061" width="14.33203125" style="533" customWidth="1"/>
    <col min="3062" max="3303" width="9" style="533"/>
    <col min="3304" max="3304" width="2.5" style="533" customWidth="1"/>
    <col min="3305" max="3305" width="3.5" style="533" customWidth="1"/>
    <col min="3306" max="3306" width="21.5" style="533" customWidth="1"/>
    <col min="3307" max="3307" width="4" style="533" customWidth="1"/>
    <col min="3308" max="3308" width="5.33203125" style="533" customWidth="1"/>
    <col min="3309" max="3309" width="15.33203125" style="533" customWidth="1"/>
    <col min="3310" max="3317" width="14.33203125" style="533" customWidth="1"/>
    <col min="3318" max="3559" width="9" style="533"/>
    <col min="3560" max="3560" width="2.5" style="533" customWidth="1"/>
    <col min="3561" max="3561" width="3.5" style="533" customWidth="1"/>
    <col min="3562" max="3562" width="21.5" style="533" customWidth="1"/>
    <col min="3563" max="3563" width="4" style="533" customWidth="1"/>
    <col min="3564" max="3564" width="5.33203125" style="533" customWidth="1"/>
    <col min="3565" max="3565" width="15.33203125" style="533" customWidth="1"/>
    <col min="3566" max="3573" width="14.33203125" style="533" customWidth="1"/>
    <col min="3574" max="3815" width="9" style="533"/>
    <col min="3816" max="3816" width="2.5" style="533" customWidth="1"/>
    <col min="3817" max="3817" width="3.5" style="533" customWidth="1"/>
    <col min="3818" max="3818" width="21.5" style="533" customWidth="1"/>
    <col min="3819" max="3819" width="4" style="533" customWidth="1"/>
    <col min="3820" max="3820" width="5.33203125" style="533" customWidth="1"/>
    <col min="3821" max="3821" width="15.33203125" style="533" customWidth="1"/>
    <col min="3822" max="3829" width="14.33203125" style="533" customWidth="1"/>
    <col min="3830" max="4071" width="9" style="533"/>
    <col min="4072" max="4072" width="2.5" style="533" customWidth="1"/>
    <col min="4073" max="4073" width="3.5" style="533" customWidth="1"/>
    <col min="4074" max="4074" width="21.5" style="533" customWidth="1"/>
    <col min="4075" max="4075" width="4" style="533" customWidth="1"/>
    <col min="4076" max="4076" width="5.33203125" style="533" customWidth="1"/>
    <col min="4077" max="4077" width="15.33203125" style="533" customWidth="1"/>
    <col min="4078" max="4085" width="14.33203125" style="533" customWidth="1"/>
    <col min="4086" max="4327" width="9" style="533"/>
    <col min="4328" max="4328" width="2.5" style="533" customWidth="1"/>
    <col min="4329" max="4329" width="3.5" style="533" customWidth="1"/>
    <col min="4330" max="4330" width="21.5" style="533" customWidth="1"/>
    <col min="4331" max="4331" width="4" style="533" customWidth="1"/>
    <col min="4332" max="4332" width="5.33203125" style="533" customWidth="1"/>
    <col min="4333" max="4333" width="15.33203125" style="533" customWidth="1"/>
    <col min="4334" max="4341" width="14.33203125" style="533" customWidth="1"/>
    <col min="4342" max="4583" width="9" style="533"/>
    <col min="4584" max="4584" width="2.5" style="533" customWidth="1"/>
    <col min="4585" max="4585" width="3.5" style="533" customWidth="1"/>
    <col min="4586" max="4586" width="21.5" style="533" customWidth="1"/>
    <col min="4587" max="4587" width="4" style="533" customWidth="1"/>
    <col min="4588" max="4588" width="5.33203125" style="533" customWidth="1"/>
    <col min="4589" max="4589" width="15.33203125" style="533" customWidth="1"/>
    <col min="4590" max="4597" width="14.33203125" style="533" customWidth="1"/>
    <col min="4598" max="4839" width="9" style="533"/>
    <col min="4840" max="4840" width="2.5" style="533" customWidth="1"/>
    <col min="4841" max="4841" width="3.5" style="533" customWidth="1"/>
    <col min="4842" max="4842" width="21.5" style="533" customWidth="1"/>
    <col min="4843" max="4843" width="4" style="533" customWidth="1"/>
    <col min="4844" max="4844" width="5.33203125" style="533" customWidth="1"/>
    <col min="4845" max="4845" width="15.33203125" style="533" customWidth="1"/>
    <col min="4846" max="4853" width="14.33203125" style="533" customWidth="1"/>
    <col min="4854" max="5095" width="9" style="533"/>
    <col min="5096" max="5096" width="2.5" style="533" customWidth="1"/>
    <col min="5097" max="5097" width="3.5" style="533" customWidth="1"/>
    <col min="5098" max="5098" width="21.5" style="533" customWidth="1"/>
    <col min="5099" max="5099" width="4" style="533" customWidth="1"/>
    <col min="5100" max="5100" width="5.33203125" style="533" customWidth="1"/>
    <col min="5101" max="5101" width="15.33203125" style="533" customWidth="1"/>
    <col min="5102" max="5109" width="14.33203125" style="533" customWidth="1"/>
    <col min="5110" max="5351" width="9" style="533"/>
    <col min="5352" max="5352" width="2.5" style="533" customWidth="1"/>
    <col min="5353" max="5353" width="3.5" style="533" customWidth="1"/>
    <col min="5354" max="5354" width="21.5" style="533" customWidth="1"/>
    <col min="5355" max="5355" width="4" style="533" customWidth="1"/>
    <col min="5356" max="5356" width="5.33203125" style="533" customWidth="1"/>
    <col min="5357" max="5357" width="15.33203125" style="533" customWidth="1"/>
    <col min="5358" max="5365" width="14.33203125" style="533" customWidth="1"/>
    <col min="5366" max="5607" width="9" style="533"/>
    <col min="5608" max="5608" width="2.5" style="533" customWidth="1"/>
    <col min="5609" max="5609" width="3.5" style="533" customWidth="1"/>
    <col min="5610" max="5610" width="21.5" style="533" customWidth="1"/>
    <col min="5611" max="5611" width="4" style="533" customWidth="1"/>
    <col min="5612" max="5612" width="5.33203125" style="533" customWidth="1"/>
    <col min="5613" max="5613" width="15.33203125" style="533" customWidth="1"/>
    <col min="5614" max="5621" width="14.33203125" style="533" customWidth="1"/>
    <col min="5622" max="5863" width="9" style="533"/>
    <col min="5864" max="5864" width="2.5" style="533" customWidth="1"/>
    <col min="5865" max="5865" width="3.5" style="533" customWidth="1"/>
    <col min="5866" max="5866" width="21.5" style="533" customWidth="1"/>
    <col min="5867" max="5867" width="4" style="533" customWidth="1"/>
    <col min="5868" max="5868" width="5.33203125" style="533" customWidth="1"/>
    <col min="5869" max="5869" width="15.33203125" style="533" customWidth="1"/>
    <col min="5870" max="5877" width="14.33203125" style="533" customWidth="1"/>
    <col min="5878" max="6119" width="9" style="533"/>
    <col min="6120" max="6120" width="2.5" style="533" customWidth="1"/>
    <col min="6121" max="6121" width="3.5" style="533" customWidth="1"/>
    <col min="6122" max="6122" width="21.5" style="533" customWidth="1"/>
    <col min="6123" max="6123" width="4" style="533" customWidth="1"/>
    <col min="6124" max="6124" width="5.33203125" style="533" customWidth="1"/>
    <col min="6125" max="6125" width="15.33203125" style="533" customWidth="1"/>
    <col min="6126" max="6133" width="14.33203125" style="533" customWidth="1"/>
    <col min="6134" max="6375" width="9" style="533"/>
    <col min="6376" max="6376" width="2.5" style="533" customWidth="1"/>
    <col min="6377" max="6377" width="3.5" style="533" customWidth="1"/>
    <col min="6378" max="6378" width="21.5" style="533" customWidth="1"/>
    <col min="6379" max="6379" width="4" style="533" customWidth="1"/>
    <col min="6380" max="6380" width="5.33203125" style="533" customWidth="1"/>
    <col min="6381" max="6381" width="15.33203125" style="533" customWidth="1"/>
    <col min="6382" max="6389" width="14.33203125" style="533" customWidth="1"/>
    <col min="6390" max="6631" width="9" style="533"/>
    <col min="6632" max="6632" width="2.5" style="533" customWidth="1"/>
    <col min="6633" max="6633" width="3.5" style="533" customWidth="1"/>
    <col min="6634" max="6634" width="21.5" style="533" customWidth="1"/>
    <col min="6635" max="6635" width="4" style="533" customWidth="1"/>
    <col min="6636" max="6636" width="5.33203125" style="533" customWidth="1"/>
    <col min="6637" max="6637" width="15.33203125" style="533" customWidth="1"/>
    <col min="6638" max="6645" width="14.33203125" style="533" customWidth="1"/>
    <col min="6646" max="6887" width="9" style="533"/>
    <col min="6888" max="6888" width="2.5" style="533" customWidth="1"/>
    <col min="6889" max="6889" width="3.5" style="533" customWidth="1"/>
    <col min="6890" max="6890" width="21.5" style="533" customWidth="1"/>
    <col min="6891" max="6891" width="4" style="533" customWidth="1"/>
    <col min="6892" max="6892" width="5.33203125" style="533" customWidth="1"/>
    <col min="6893" max="6893" width="15.33203125" style="533" customWidth="1"/>
    <col min="6894" max="6901" width="14.33203125" style="533" customWidth="1"/>
    <col min="6902" max="7143" width="9" style="533"/>
    <col min="7144" max="7144" width="2.5" style="533" customWidth="1"/>
    <col min="7145" max="7145" width="3.5" style="533" customWidth="1"/>
    <col min="7146" max="7146" width="21.5" style="533" customWidth="1"/>
    <col min="7147" max="7147" width="4" style="533" customWidth="1"/>
    <col min="7148" max="7148" width="5.33203125" style="533" customWidth="1"/>
    <col min="7149" max="7149" width="15.33203125" style="533" customWidth="1"/>
    <col min="7150" max="7157" width="14.33203125" style="533" customWidth="1"/>
    <col min="7158" max="7399" width="9" style="533"/>
    <col min="7400" max="7400" width="2.5" style="533" customWidth="1"/>
    <col min="7401" max="7401" width="3.5" style="533" customWidth="1"/>
    <col min="7402" max="7402" width="21.5" style="533" customWidth="1"/>
    <col min="7403" max="7403" width="4" style="533" customWidth="1"/>
    <col min="7404" max="7404" width="5.33203125" style="533" customWidth="1"/>
    <col min="7405" max="7405" width="15.33203125" style="533" customWidth="1"/>
    <col min="7406" max="7413" width="14.33203125" style="533" customWidth="1"/>
    <col min="7414" max="7655" width="9" style="533"/>
    <col min="7656" max="7656" width="2.5" style="533" customWidth="1"/>
    <col min="7657" max="7657" width="3.5" style="533" customWidth="1"/>
    <col min="7658" max="7658" width="21.5" style="533" customWidth="1"/>
    <col min="7659" max="7659" width="4" style="533" customWidth="1"/>
    <col min="7660" max="7660" width="5.33203125" style="533" customWidth="1"/>
    <col min="7661" max="7661" width="15.33203125" style="533" customWidth="1"/>
    <col min="7662" max="7669" width="14.33203125" style="533" customWidth="1"/>
    <col min="7670" max="7911" width="9" style="533"/>
    <col min="7912" max="7912" width="2.5" style="533" customWidth="1"/>
    <col min="7913" max="7913" width="3.5" style="533" customWidth="1"/>
    <col min="7914" max="7914" width="21.5" style="533" customWidth="1"/>
    <col min="7915" max="7915" width="4" style="533" customWidth="1"/>
    <col min="7916" max="7916" width="5.33203125" style="533" customWidth="1"/>
    <col min="7917" max="7917" width="15.33203125" style="533" customWidth="1"/>
    <col min="7918" max="7925" width="14.33203125" style="533" customWidth="1"/>
    <col min="7926" max="8167" width="9" style="533"/>
    <col min="8168" max="8168" width="2.5" style="533" customWidth="1"/>
    <col min="8169" max="8169" width="3.5" style="533" customWidth="1"/>
    <col min="8170" max="8170" width="21.5" style="533" customWidth="1"/>
    <col min="8171" max="8171" width="4" style="533" customWidth="1"/>
    <col min="8172" max="8172" width="5.33203125" style="533" customWidth="1"/>
    <col min="8173" max="8173" width="15.33203125" style="533" customWidth="1"/>
    <col min="8174" max="8181" width="14.33203125" style="533" customWidth="1"/>
    <col min="8182" max="8423" width="9" style="533"/>
    <col min="8424" max="8424" width="2.5" style="533" customWidth="1"/>
    <col min="8425" max="8425" width="3.5" style="533" customWidth="1"/>
    <col min="8426" max="8426" width="21.5" style="533" customWidth="1"/>
    <col min="8427" max="8427" width="4" style="533" customWidth="1"/>
    <col min="8428" max="8428" width="5.33203125" style="533" customWidth="1"/>
    <col min="8429" max="8429" width="15.33203125" style="533" customWidth="1"/>
    <col min="8430" max="8437" width="14.33203125" style="533" customWidth="1"/>
    <col min="8438" max="8679" width="9" style="533"/>
    <col min="8680" max="8680" width="2.5" style="533" customWidth="1"/>
    <col min="8681" max="8681" width="3.5" style="533" customWidth="1"/>
    <col min="8682" max="8682" width="21.5" style="533" customWidth="1"/>
    <col min="8683" max="8683" width="4" style="533" customWidth="1"/>
    <col min="8684" max="8684" width="5.33203125" style="533" customWidth="1"/>
    <col min="8685" max="8685" width="15.33203125" style="533" customWidth="1"/>
    <col min="8686" max="8693" width="14.33203125" style="533" customWidth="1"/>
    <col min="8694" max="8935" width="9" style="533"/>
    <col min="8936" max="8936" width="2.5" style="533" customWidth="1"/>
    <col min="8937" max="8937" width="3.5" style="533" customWidth="1"/>
    <col min="8938" max="8938" width="21.5" style="533" customWidth="1"/>
    <col min="8939" max="8939" width="4" style="533" customWidth="1"/>
    <col min="8940" max="8940" width="5.33203125" style="533" customWidth="1"/>
    <col min="8941" max="8941" width="15.33203125" style="533" customWidth="1"/>
    <col min="8942" max="8949" width="14.33203125" style="533" customWidth="1"/>
    <col min="8950" max="9191" width="9" style="533"/>
    <col min="9192" max="9192" width="2.5" style="533" customWidth="1"/>
    <col min="9193" max="9193" width="3.5" style="533" customWidth="1"/>
    <col min="9194" max="9194" width="21.5" style="533" customWidth="1"/>
    <col min="9195" max="9195" width="4" style="533" customWidth="1"/>
    <col min="9196" max="9196" width="5.33203125" style="533" customWidth="1"/>
    <col min="9197" max="9197" width="15.33203125" style="533" customWidth="1"/>
    <col min="9198" max="9205" width="14.33203125" style="533" customWidth="1"/>
    <col min="9206" max="9447" width="9" style="533"/>
    <col min="9448" max="9448" width="2.5" style="533" customWidth="1"/>
    <col min="9449" max="9449" width="3.5" style="533" customWidth="1"/>
    <col min="9450" max="9450" width="21.5" style="533" customWidth="1"/>
    <col min="9451" max="9451" width="4" style="533" customWidth="1"/>
    <col min="9452" max="9452" width="5.33203125" style="533" customWidth="1"/>
    <col min="9453" max="9453" width="15.33203125" style="533" customWidth="1"/>
    <col min="9454" max="9461" width="14.33203125" style="533" customWidth="1"/>
    <col min="9462" max="9703" width="9" style="533"/>
    <col min="9704" max="9704" width="2.5" style="533" customWidth="1"/>
    <col min="9705" max="9705" width="3.5" style="533" customWidth="1"/>
    <col min="9706" max="9706" width="21.5" style="533" customWidth="1"/>
    <col min="9707" max="9707" width="4" style="533" customWidth="1"/>
    <col min="9708" max="9708" width="5.33203125" style="533" customWidth="1"/>
    <col min="9709" max="9709" width="15.33203125" style="533" customWidth="1"/>
    <col min="9710" max="9717" width="14.33203125" style="533" customWidth="1"/>
    <col min="9718" max="9959" width="9" style="533"/>
    <col min="9960" max="9960" width="2.5" style="533" customWidth="1"/>
    <col min="9961" max="9961" width="3.5" style="533" customWidth="1"/>
    <col min="9962" max="9962" width="21.5" style="533" customWidth="1"/>
    <col min="9963" max="9963" width="4" style="533" customWidth="1"/>
    <col min="9964" max="9964" width="5.33203125" style="533" customWidth="1"/>
    <col min="9965" max="9965" width="15.33203125" style="533" customWidth="1"/>
    <col min="9966" max="9973" width="14.33203125" style="533" customWidth="1"/>
    <col min="9974" max="10215" width="9" style="533"/>
    <col min="10216" max="10216" width="2.5" style="533" customWidth="1"/>
    <col min="10217" max="10217" width="3.5" style="533" customWidth="1"/>
    <col min="10218" max="10218" width="21.5" style="533" customWidth="1"/>
    <col min="10219" max="10219" width="4" style="533" customWidth="1"/>
    <col min="10220" max="10220" width="5.33203125" style="533" customWidth="1"/>
    <col min="10221" max="10221" width="15.33203125" style="533" customWidth="1"/>
    <col min="10222" max="10229" width="14.33203125" style="533" customWidth="1"/>
    <col min="10230" max="10471" width="9" style="533"/>
    <col min="10472" max="10472" width="2.5" style="533" customWidth="1"/>
    <col min="10473" max="10473" width="3.5" style="533" customWidth="1"/>
    <col min="10474" max="10474" width="21.5" style="533" customWidth="1"/>
    <col min="10475" max="10475" width="4" style="533" customWidth="1"/>
    <col min="10476" max="10476" width="5.33203125" style="533" customWidth="1"/>
    <col min="10477" max="10477" width="15.33203125" style="533" customWidth="1"/>
    <col min="10478" max="10485" width="14.33203125" style="533" customWidth="1"/>
    <col min="10486" max="10727" width="9" style="533"/>
    <col min="10728" max="10728" width="2.5" style="533" customWidth="1"/>
    <col min="10729" max="10729" width="3.5" style="533" customWidth="1"/>
    <col min="10730" max="10730" width="21.5" style="533" customWidth="1"/>
    <col min="10731" max="10731" width="4" style="533" customWidth="1"/>
    <col min="10732" max="10732" width="5.33203125" style="533" customWidth="1"/>
    <col min="10733" max="10733" width="15.33203125" style="533" customWidth="1"/>
    <col min="10734" max="10741" width="14.33203125" style="533" customWidth="1"/>
    <col min="10742" max="10983" width="9" style="533"/>
    <col min="10984" max="10984" width="2.5" style="533" customWidth="1"/>
    <col min="10985" max="10985" width="3.5" style="533" customWidth="1"/>
    <col min="10986" max="10986" width="21.5" style="533" customWidth="1"/>
    <col min="10987" max="10987" width="4" style="533" customWidth="1"/>
    <col min="10988" max="10988" width="5.33203125" style="533" customWidth="1"/>
    <col min="10989" max="10989" width="15.33203125" style="533" customWidth="1"/>
    <col min="10990" max="10997" width="14.33203125" style="533" customWidth="1"/>
    <col min="10998" max="11239" width="9" style="533"/>
    <col min="11240" max="11240" width="2.5" style="533" customWidth="1"/>
    <col min="11241" max="11241" width="3.5" style="533" customWidth="1"/>
    <col min="11242" max="11242" width="21.5" style="533" customWidth="1"/>
    <col min="11243" max="11243" width="4" style="533" customWidth="1"/>
    <col min="11244" max="11244" width="5.33203125" style="533" customWidth="1"/>
    <col min="11245" max="11245" width="15.33203125" style="533" customWidth="1"/>
    <col min="11246" max="11253" width="14.33203125" style="533" customWidth="1"/>
    <col min="11254" max="11495" width="9" style="533"/>
    <col min="11496" max="11496" width="2.5" style="533" customWidth="1"/>
    <col min="11497" max="11497" width="3.5" style="533" customWidth="1"/>
    <col min="11498" max="11498" width="21.5" style="533" customWidth="1"/>
    <col min="11499" max="11499" width="4" style="533" customWidth="1"/>
    <col min="11500" max="11500" width="5.33203125" style="533" customWidth="1"/>
    <col min="11501" max="11501" width="15.33203125" style="533" customWidth="1"/>
    <col min="11502" max="11509" width="14.33203125" style="533" customWidth="1"/>
    <col min="11510" max="11751" width="9" style="533"/>
    <col min="11752" max="11752" width="2.5" style="533" customWidth="1"/>
    <col min="11753" max="11753" width="3.5" style="533" customWidth="1"/>
    <col min="11754" max="11754" width="21.5" style="533" customWidth="1"/>
    <col min="11755" max="11755" width="4" style="533" customWidth="1"/>
    <col min="11756" max="11756" width="5.33203125" style="533" customWidth="1"/>
    <col min="11757" max="11757" width="15.33203125" style="533" customWidth="1"/>
    <col min="11758" max="11765" width="14.33203125" style="533" customWidth="1"/>
    <col min="11766" max="12007" width="9" style="533"/>
    <col min="12008" max="12008" width="2.5" style="533" customWidth="1"/>
    <col min="12009" max="12009" width="3.5" style="533" customWidth="1"/>
    <col min="12010" max="12010" width="21.5" style="533" customWidth="1"/>
    <col min="12011" max="12011" width="4" style="533" customWidth="1"/>
    <col min="12012" max="12012" width="5.33203125" style="533" customWidth="1"/>
    <col min="12013" max="12013" width="15.33203125" style="533" customWidth="1"/>
    <col min="12014" max="12021" width="14.33203125" style="533" customWidth="1"/>
    <col min="12022" max="12263" width="9" style="533"/>
    <col min="12264" max="12264" width="2.5" style="533" customWidth="1"/>
    <col min="12265" max="12265" width="3.5" style="533" customWidth="1"/>
    <col min="12266" max="12266" width="21.5" style="533" customWidth="1"/>
    <col min="12267" max="12267" width="4" style="533" customWidth="1"/>
    <col min="12268" max="12268" width="5.33203125" style="533" customWidth="1"/>
    <col min="12269" max="12269" width="15.33203125" style="533" customWidth="1"/>
    <col min="12270" max="12277" width="14.33203125" style="533" customWidth="1"/>
    <col min="12278" max="12519" width="9" style="533"/>
    <col min="12520" max="12520" width="2.5" style="533" customWidth="1"/>
    <col min="12521" max="12521" width="3.5" style="533" customWidth="1"/>
    <col min="12522" max="12522" width="21.5" style="533" customWidth="1"/>
    <col min="12523" max="12523" width="4" style="533" customWidth="1"/>
    <col min="12524" max="12524" width="5.33203125" style="533" customWidth="1"/>
    <col min="12525" max="12525" width="15.33203125" style="533" customWidth="1"/>
    <col min="12526" max="12533" width="14.33203125" style="533" customWidth="1"/>
    <col min="12534" max="12775" width="9" style="533"/>
    <col min="12776" max="12776" width="2.5" style="533" customWidth="1"/>
    <col min="12777" max="12777" width="3.5" style="533" customWidth="1"/>
    <col min="12778" max="12778" width="21.5" style="533" customWidth="1"/>
    <col min="12779" max="12779" width="4" style="533" customWidth="1"/>
    <col min="12780" max="12780" width="5.33203125" style="533" customWidth="1"/>
    <col min="12781" max="12781" width="15.33203125" style="533" customWidth="1"/>
    <col min="12782" max="12789" width="14.33203125" style="533" customWidth="1"/>
    <col min="12790" max="13031" width="9" style="533"/>
    <col min="13032" max="13032" width="2.5" style="533" customWidth="1"/>
    <col min="13033" max="13033" width="3.5" style="533" customWidth="1"/>
    <col min="13034" max="13034" width="21.5" style="533" customWidth="1"/>
    <col min="13035" max="13035" width="4" style="533" customWidth="1"/>
    <col min="13036" max="13036" width="5.33203125" style="533" customWidth="1"/>
    <col min="13037" max="13037" width="15.33203125" style="533" customWidth="1"/>
    <col min="13038" max="13045" width="14.33203125" style="533" customWidth="1"/>
    <col min="13046" max="13287" width="9" style="533"/>
    <col min="13288" max="13288" width="2.5" style="533" customWidth="1"/>
    <col min="13289" max="13289" width="3.5" style="533" customWidth="1"/>
    <col min="13290" max="13290" width="21.5" style="533" customWidth="1"/>
    <col min="13291" max="13291" width="4" style="533" customWidth="1"/>
    <col min="13292" max="13292" width="5.33203125" style="533" customWidth="1"/>
    <col min="13293" max="13293" width="15.33203125" style="533" customWidth="1"/>
    <col min="13294" max="13301" width="14.33203125" style="533" customWidth="1"/>
    <col min="13302" max="13543" width="9" style="533"/>
    <col min="13544" max="13544" width="2.5" style="533" customWidth="1"/>
    <col min="13545" max="13545" width="3.5" style="533" customWidth="1"/>
    <col min="13546" max="13546" width="21.5" style="533" customWidth="1"/>
    <col min="13547" max="13547" width="4" style="533" customWidth="1"/>
    <col min="13548" max="13548" width="5.33203125" style="533" customWidth="1"/>
    <col min="13549" max="13549" width="15.33203125" style="533" customWidth="1"/>
    <col min="13550" max="13557" width="14.33203125" style="533" customWidth="1"/>
    <col min="13558" max="13799" width="9" style="533"/>
    <col min="13800" max="13800" width="2.5" style="533" customWidth="1"/>
    <col min="13801" max="13801" width="3.5" style="533" customWidth="1"/>
    <col min="13802" max="13802" width="21.5" style="533" customWidth="1"/>
    <col min="13803" max="13803" width="4" style="533" customWidth="1"/>
    <col min="13804" max="13804" width="5.33203125" style="533" customWidth="1"/>
    <col min="13805" max="13805" width="15.33203125" style="533" customWidth="1"/>
    <col min="13806" max="13813" width="14.33203125" style="533" customWidth="1"/>
    <col min="13814" max="14055" width="9" style="533"/>
    <col min="14056" max="14056" width="2.5" style="533" customWidth="1"/>
    <col min="14057" max="14057" width="3.5" style="533" customWidth="1"/>
    <col min="14058" max="14058" width="21.5" style="533" customWidth="1"/>
    <col min="14059" max="14059" width="4" style="533" customWidth="1"/>
    <col min="14060" max="14060" width="5.33203125" style="533" customWidth="1"/>
    <col min="14061" max="14061" width="15.33203125" style="533" customWidth="1"/>
    <col min="14062" max="14069" width="14.33203125" style="533" customWidth="1"/>
    <col min="14070" max="14311" width="9" style="533"/>
    <col min="14312" max="14312" width="2.5" style="533" customWidth="1"/>
    <col min="14313" max="14313" width="3.5" style="533" customWidth="1"/>
    <col min="14314" max="14314" width="21.5" style="533" customWidth="1"/>
    <col min="14315" max="14315" width="4" style="533" customWidth="1"/>
    <col min="14316" max="14316" width="5.33203125" style="533" customWidth="1"/>
    <col min="14317" max="14317" width="15.33203125" style="533" customWidth="1"/>
    <col min="14318" max="14325" width="14.33203125" style="533" customWidth="1"/>
    <col min="14326" max="14567" width="9" style="533"/>
    <col min="14568" max="14568" width="2.5" style="533" customWidth="1"/>
    <col min="14569" max="14569" width="3.5" style="533" customWidth="1"/>
    <col min="14570" max="14570" width="21.5" style="533" customWidth="1"/>
    <col min="14571" max="14571" width="4" style="533" customWidth="1"/>
    <col min="14572" max="14572" width="5.33203125" style="533" customWidth="1"/>
    <col min="14573" max="14573" width="15.33203125" style="533" customWidth="1"/>
    <col min="14574" max="14581" width="14.33203125" style="533" customWidth="1"/>
    <col min="14582" max="14823" width="9" style="533"/>
    <col min="14824" max="14824" width="2.5" style="533" customWidth="1"/>
    <col min="14825" max="14825" width="3.5" style="533" customWidth="1"/>
    <col min="14826" max="14826" width="21.5" style="533" customWidth="1"/>
    <col min="14827" max="14827" width="4" style="533" customWidth="1"/>
    <col min="14828" max="14828" width="5.33203125" style="533" customWidth="1"/>
    <col min="14829" max="14829" width="15.33203125" style="533" customWidth="1"/>
    <col min="14830" max="14837" width="14.33203125" style="533" customWidth="1"/>
    <col min="14838" max="15079" width="9" style="533"/>
    <col min="15080" max="15080" width="2.5" style="533" customWidth="1"/>
    <col min="15081" max="15081" width="3.5" style="533" customWidth="1"/>
    <col min="15082" max="15082" width="21.5" style="533" customWidth="1"/>
    <col min="15083" max="15083" width="4" style="533" customWidth="1"/>
    <col min="15084" max="15084" width="5.33203125" style="533" customWidth="1"/>
    <col min="15085" max="15085" width="15.33203125" style="533" customWidth="1"/>
    <col min="15086" max="15093" width="14.33203125" style="533" customWidth="1"/>
    <col min="15094" max="15335" width="9" style="533"/>
    <col min="15336" max="15336" width="2.5" style="533" customWidth="1"/>
    <col min="15337" max="15337" width="3.5" style="533" customWidth="1"/>
    <col min="15338" max="15338" width="21.5" style="533" customWidth="1"/>
    <col min="15339" max="15339" width="4" style="533" customWidth="1"/>
    <col min="15340" max="15340" width="5.33203125" style="533" customWidth="1"/>
    <col min="15341" max="15341" width="15.33203125" style="533" customWidth="1"/>
    <col min="15342" max="15349" width="14.33203125" style="533" customWidth="1"/>
    <col min="15350" max="15591" width="9" style="533"/>
    <col min="15592" max="15592" width="2.5" style="533" customWidth="1"/>
    <col min="15593" max="15593" width="3.5" style="533" customWidth="1"/>
    <col min="15594" max="15594" width="21.5" style="533" customWidth="1"/>
    <col min="15595" max="15595" width="4" style="533" customWidth="1"/>
    <col min="15596" max="15596" width="5.33203125" style="533" customWidth="1"/>
    <col min="15597" max="15597" width="15.33203125" style="533" customWidth="1"/>
    <col min="15598" max="15605" width="14.33203125" style="533" customWidth="1"/>
    <col min="15606" max="15847" width="9" style="533"/>
    <col min="15848" max="15848" width="2.5" style="533" customWidth="1"/>
    <col min="15849" max="15849" width="3.5" style="533" customWidth="1"/>
    <col min="15850" max="15850" width="21.5" style="533" customWidth="1"/>
    <col min="15851" max="15851" width="4" style="533" customWidth="1"/>
    <col min="15852" max="15852" width="5.33203125" style="533" customWidth="1"/>
    <col min="15853" max="15853" width="15.33203125" style="533" customWidth="1"/>
    <col min="15854" max="15861" width="14.33203125" style="533" customWidth="1"/>
    <col min="15862" max="16103" width="9" style="533"/>
    <col min="16104" max="16104" width="2.5" style="533" customWidth="1"/>
    <col min="16105" max="16105" width="3.5" style="533" customWidth="1"/>
    <col min="16106" max="16106" width="21.5" style="533" customWidth="1"/>
    <col min="16107" max="16107" width="4" style="533" customWidth="1"/>
    <col min="16108" max="16108" width="5.33203125" style="533" customWidth="1"/>
    <col min="16109" max="16109" width="15.33203125" style="533" customWidth="1"/>
    <col min="16110" max="16117" width="14.33203125" style="533" customWidth="1"/>
    <col min="16118" max="16384" width="9" style="533"/>
  </cols>
  <sheetData>
    <row r="1" spans="1:14" ht="13.5" customHeight="1">
      <c r="A1" s="528"/>
      <c r="B1" s="528"/>
      <c r="C1" s="531"/>
      <c r="D1" s="529"/>
      <c r="E1" s="529"/>
      <c r="F1" s="531" t="s">
        <v>2494</v>
      </c>
      <c r="G1" s="804"/>
      <c r="H1" s="804"/>
      <c r="I1" s="804"/>
      <c r="J1" s="804"/>
      <c r="K1" s="804"/>
      <c r="L1" s="804"/>
      <c r="M1" s="804"/>
      <c r="N1" s="804"/>
    </row>
    <row r="2" spans="1:14" ht="13.5" customHeight="1">
      <c r="A2" s="530"/>
      <c r="B2" s="528"/>
      <c r="C2" s="530"/>
      <c r="D2" s="531"/>
      <c r="E2" s="531"/>
      <c r="F2" s="529"/>
      <c r="G2" s="529"/>
      <c r="H2" s="534" t="str">
        <f>+変更諸経費表!G87</f>
        <v>可動式ホーム柵設置に伴う建築工事</v>
      </c>
      <c r="I2" s="534"/>
      <c r="J2" s="534"/>
      <c r="K2" s="534"/>
      <c r="L2" s="534"/>
      <c r="M2" s="534"/>
      <c r="N2" s="534"/>
    </row>
    <row r="3" spans="1:14" ht="13.5" customHeight="1">
      <c r="A3" s="530"/>
      <c r="B3" s="528"/>
      <c r="C3" s="807"/>
      <c r="D3" s="531"/>
      <c r="E3" s="531"/>
      <c r="F3" s="529"/>
      <c r="G3" s="529"/>
      <c r="H3" s="534" t="str">
        <f>+変更諸経費表!G86</f>
        <v>工事1</v>
      </c>
      <c r="I3" s="534" t="s">
        <v>3275</v>
      </c>
      <c r="J3" s="534" t="s">
        <v>3276</v>
      </c>
      <c r="K3" s="534" t="s">
        <v>3272</v>
      </c>
      <c r="L3" s="534" t="s">
        <v>3273</v>
      </c>
      <c r="M3" s="534" t="s">
        <v>3274</v>
      </c>
      <c r="N3" s="534" t="s">
        <v>2961</v>
      </c>
    </row>
    <row r="4" spans="1:14" ht="13.5" customHeight="1">
      <c r="A4" s="808"/>
      <c r="B4" s="809"/>
      <c r="C4" s="809" t="s">
        <v>2493</v>
      </c>
      <c r="D4" s="810">
        <f>+変更諸経費表!G2</f>
        <v>0.74370000000000003</v>
      </c>
      <c r="E4" s="805"/>
      <c r="F4" s="535"/>
      <c r="G4" s="536" t="s">
        <v>381</v>
      </c>
      <c r="H4" s="537" t="s">
        <v>382</v>
      </c>
      <c r="I4" s="537" t="s">
        <v>382</v>
      </c>
      <c r="J4" s="537" t="s">
        <v>382</v>
      </c>
      <c r="K4" s="537" t="s">
        <v>382</v>
      </c>
      <c r="L4" s="537" t="s">
        <v>382</v>
      </c>
      <c r="M4" s="537" t="s">
        <v>382</v>
      </c>
      <c r="N4" s="537" t="s">
        <v>382</v>
      </c>
    </row>
    <row r="5" spans="1:14" s="546" customFormat="1" ht="13.5" customHeight="1">
      <c r="A5" s="538"/>
      <c r="B5" s="539"/>
      <c r="C5" s="540"/>
      <c r="D5" s="806" t="s">
        <v>383</v>
      </c>
      <c r="E5" s="542"/>
      <c r="F5" s="543"/>
      <c r="G5" s="544">
        <f t="shared" ref="G5:G14" si="0">SUM(H5:N5)</f>
        <v>18232718</v>
      </c>
      <c r="H5" s="545">
        <f>+変更諸経費表!G14</f>
        <v>1759829</v>
      </c>
      <c r="I5" s="545">
        <f>+変更諸経費表!J14</f>
        <v>5744720</v>
      </c>
      <c r="J5" s="545">
        <f>+変更諸経費表!K14</f>
        <v>98253</v>
      </c>
      <c r="K5" s="545">
        <f>+変更諸経費表!L14</f>
        <v>2137442</v>
      </c>
      <c r="L5" s="545">
        <f>+変更諸経費表!N14</f>
        <v>6281560</v>
      </c>
      <c r="M5" s="545">
        <f>+変更諸経費表!O14</f>
        <v>1085299</v>
      </c>
      <c r="N5" s="545">
        <f>+変更諸経費表!P14</f>
        <v>1125615</v>
      </c>
    </row>
    <row r="6" spans="1:14" s="546" customFormat="1" ht="13.5" customHeight="1">
      <c r="A6" s="538"/>
      <c r="B6" s="539"/>
      <c r="C6" s="547"/>
      <c r="D6" s="548"/>
      <c r="E6" s="549"/>
      <c r="F6" s="550" t="s">
        <v>384</v>
      </c>
      <c r="G6" s="551">
        <f t="shared" ca="1" si="0"/>
        <v>0</v>
      </c>
      <c r="H6" s="552" t="str">
        <f t="shared" ref="H6:N6" ca="1" si="1">IF(COUNTIF(INDIRECT("'"&amp;H$3&amp;"'!＄ｄ:$ｄ"),"直接仮設工事")=0,"0",VLOOKUP("直接仮設工事",INDIRECT("'"&amp;H$3&amp;"'!＄D:$L"),6,FALSE))</f>
        <v>0</v>
      </c>
      <c r="I6" s="552" t="str">
        <f t="shared" ca="1" si="1"/>
        <v>0</v>
      </c>
      <c r="J6" s="552" t="str">
        <f t="shared" ca="1" si="1"/>
        <v>0</v>
      </c>
      <c r="K6" s="552" t="str">
        <f t="shared" ca="1" si="1"/>
        <v>0</v>
      </c>
      <c r="L6" s="552" t="str">
        <f t="shared" ca="1" si="1"/>
        <v>0</v>
      </c>
      <c r="M6" s="552" t="str">
        <f t="shared" ca="1" si="1"/>
        <v>0</v>
      </c>
      <c r="N6" s="552" t="str">
        <f t="shared" ca="1" si="1"/>
        <v>0</v>
      </c>
    </row>
    <row r="7" spans="1:14" s="546" customFormat="1" ht="13.5" customHeight="1">
      <c r="A7" s="538"/>
      <c r="B7" s="539"/>
      <c r="C7" s="547"/>
      <c r="D7" s="553"/>
      <c r="E7" s="554"/>
      <c r="F7" s="555" t="s">
        <v>385</v>
      </c>
      <c r="G7" s="556">
        <f t="shared" ca="1" si="0"/>
        <v>1219179</v>
      </c>
      <c r="H7" s="557">
        <f t="shared" ref="H7:N7" ca="1" si="2">IF(COUNTIF(INDIRECT("'"&amp;H$3&amp;"'!＄ｄ:$ｄ"),"部分撤去工事")=0,"0",VLOOKUP("部分撤去工事",INDIRECT("'"&amp;H$3&amp;"'!＄D:$L"),6,FALSE))</f>
        <v>439205</v>
      </c>
      <c r="I7" s="557" t="str">
        <f t="shared" ca="1" si="2"/>
        <v>0</v>
      </c>
      <c r="J7" s="557">
        <f t="shared" ca="1" si="2"/>
        <v>4653</v>
      </c>
      <c r="K7" s="557">
        <f t="shared" ca="1" si="2"/>
        <v>578709</v>
      </c>
      <c r="L7" s="557">
        <f t="shared" ca="1" si="2"/>
        <v>196612</v>
      </c>
      <c r="M7" s="557" t="str">
        <f t="shared" ca="1" si="2"/>
        <v>0</v>
      </c>
      <c r="N7" s="557" t="str">
        <f t="shared" ca="1" si="2"/>
        <v>0</v>
      </c>
    </row>
    <row r="8" spans="1:14" s="546" customFormat="1" ht="13.5" customHeight="1">
      <c r="A8" s="538"/>
      <c r="B8" s="539"/>
      <c r="C8" s="547"/>
      <c r="D8" s="558"/>
      <c r="E8" s="559"/>
      <c r="F8" s="560" t="s">
        <v>386</v>
      </c>
      <c r="G8" s="561">
        <f t="shared" ca="1" si="0"/>
        <v>17013539</v>
      </c>
      <c r="H8" s="562">
        <f t="shared" ref="H8:M8" ca="1" si="3">H5-H6-H7</f>
        <v>1320624</v>
      </c>
      <c r="I8" s="562">
        <f t="shared" ca="1" si="3"/>
        <v>5744720</v>
      </c>
      <c r="J8" s="562">
        <f t="shared" ca="1" si="3"/>
        <v>93600</v>
      </c>
      <c r="K8" s="562">
        <f t="shared" ca="1" si="3"/>
        <v>1558733</v>
      </c>
      <c r="L8" s="562">
        <f t="shared" ca="1" si="3"/>
        <v>6084948</v>
      </c>
      <c r="M8" s="562">
        <f t="shared" ca="1" si="3"/>
        <v>1085299</v>
      </c>
      <c r="N8" s="562">
        <f t="shared" ref="N8" ca="1" si="4">N5-N6-N7</f>
        <v>1125615</v>
      </c>
    </row>
    <row r="9" spans="1:14" s="546" customFormat="1" ht="13.5" customHeight="1">
      <c r="A9" s="538"/>
      <c r="B9" s="539"/>
      <c r="C9" s="547"/>
      <c r="D9" s="563"/>
      <c r="E9" s="2726" t="s">
        <v>387</v>
      </c>
      <c r="F9" s="564" t="s">
        <v>383</v>
      </c>
      <c r="G9" s="556">
        <f t="shared" ca="1" si="0"/>
        <v>17457397</v>
      </c>
      <c r="H9" s="761">
        <f t="shared" ref="H9:M9" ca="1" si="5">H5-H12</f>
        <v>1759829</v>
      </c>
      <c r="I9" s="761">
        <f t="shared" ca="1" si="5"/>
        <v>5744720</v>
      </c>
      <c r="J9" s="761">
        <f t="shared" ca="1" si="5"/>
        <v>98253</v>
      </c>
      <c r="K9" s="761">
        <f t="shared" ca="1" si="5"/>
        <v>1558733</v>
      </c>
      <c r="L9" s="761">
        <f t="shared" ca="1" si="5"/>
        <v>6084948</v>
      </c>
      <c r="M9" s="761">
        <f t="shared" ca="1" si="5"/>
        <v>1085299</v>
      </c>
      <c r="N9" s="761">
        <f t="shared" ref="N9" ca="1" si="6">N5-N12</f>
        <v>1125615</v>
      </c>
    </row>
    <row r="10" spans="1:14" s="546" customFormat="1" ht="13.5" customHeight="1">
      <c r="A10" s="538"/>
      <c r="B10" s="539"/>
      <c r="C10" s="547"/>
      <c r="D10" s="565"/>
      <c r="E10" s="2727"/>
      <c r="F10" s="566" t="s">
        <v>388</v>
      </c>
      <c r="G10" s="556">
        <f t="shared" ca="1" si="0"/>
        <v>443858</v>
      </c>
      <c r="H10" s="762">
        <f t="shared" ref="H10:M11" ca="1" si="7">H7-H13</f>
        <v>439205</v>
      </c>
      <c r="I10" s="762">
        <f t="shared" ca="1" si="7"/>
        <v>0</v>
      </c>
      <c r="J10" s="762">
        <f t="shared" ca="1" si="7"/>
        <v>4653</v>
      </c>
      <c r="K10" s="762">
        <f t="shared" ca="1" si="7"/>
        <v>0</v>
      </c>
      <c r="L10" s="762">
        <f t="shared" ca="1" si="7"/>
        <v>0</v>
      </c>
      <c r="M10" s="762">
        <f t="shared" ca="1" si="7"/>
        <v>0</v>
      </c>
      <c r="N10" s="762">
        <f t="shared" ref="N10" ca="1" si="8">N7-N13</f>
        <v>0</v>
      </c>
    </row>
    <row r="11" spans="1:14" s="546" customFormat="1" ht="13.5" customHeight="1">
      <c r="A11" s="538"/>
      <c r="B11" s="539"/>
      <c r="C11" s="547"/>
      <c r="D11" s="565"/>
      <c r="E11" s="2728"/>
      <c r="F11" s="567" t="s">
        <v>386</v>
      </c>
      <c r="G11" s="556">
        <f t="shared" ca="1" si="0"/>
        <v>17013539</v>
      </c>
      <c r="H11" s="562">
        <f t="shared" ca="1" si="7"/>
        <v>1320624</v>
      </c>
      <c r="I11" s="562">
        <f t="shared" ca="1" si="7"/>
        <v>5744720</v>
      </c>
      <c r="J11" s="562">
        <f t="shared" ca="1" si="7"/>
        <v>93600</v>
      </c>
      <c r="K11" s="562">
        <f t="shared" ca="1" si="7"/>
        <v>1558733</v>
      </c>
      <c r="L11" s="562">
        <f t="shared" ca="1" si="7"/>
        <v>6084948</v>
      </c>
      <c r="M11" s="562">
        <f t="shared" ca="1" si="7"/>
        <v>1085299</v>
      </c>
      <c r="N11" s="562">
        <f t="shared" ref="N11" ca="1" si="9">N8-N14</f>
        <v>1125615</v>
      </c>
    </row>
    <row r="12" spans="1:14" s="546" customFormat="1" ht="13.5" customHeight="1">
      <c r="A12" s="538"/>
      <c r="B12" s="539"/>
      <c r="C12" s="547"/>
      <c r="D12" s="568"/>
      <c r="E12" s="2726" t="s">
        <v>389</v>
      </c>
      <c r="F12" s="564" t="s">
        <v>383</v>
      </c>
      <c r="G12" s="569">
        <f t="shared" ca="1" si="0"/>
        <v>775321</v>
      </c>
      <c r="H12" s="570">
        <f t="shared" ref="H12:M12" ca="1" si="10">IF(H4="費用",H5,SUMIF(INDIRECT(H$3&amp;"!$ｊ:$ｊ"),"）うち費用",INDIRECT(H$3&amp;"!$ｋ:$ｋ")))</f>
        <v>0</v>
      </c>
      <c r="I12" s="570">
        <f t="shared" ca="1" si="10"/>
        <v>0</v>
      </c>
      <c r="J12" s="570">
        <f t="shared" ca="1" si="10"/>
        <v>0</v>
      </c>
      <c r="K12" s="570">
        <f t="shared" ca="1" si="10"/>
        <v>578709</v>
      </c>
      <c r="L12" s="570">
        <f t="shared" ca="1" si="10"/>
        <v>196612</v>
      </c>
      <c r="M12" s="570">
        <f t="shared" ca="1" si="10"/>
        <v>0</v>
      </c>
      <c r="N12" s="570">
        <f t="shared" ref="N12" ca="1" si="11">IF(N4="費用",N5,SUMIF(INDIRECT(N$3&amp;"!$ｊ:$ｊ"),"）うち費用",INDIRECT(N$3&amp;"!$ｋ:$ｋ")))</f>
        <v>0</v>
      </c>
    </row>
    <row r="13" spans="1:14" s="546" customFormat="1" ht="13.5" customHeight="1">
      <c r="A13" s="538"/>
      <c r="B13" s="539"/>
      <c r="C13" s="547"/>
      <c r="D13" s="565"/>
      <c r="E13" s="2727"/>
      <c r="F13" s="566" t="s">
        <v>388</v>
      </c>
      <c r="G13" s="571">
        <f t="shared" ca="1" si="0"/>
        <v>775321</v>
      </c>
      <c r="H13" s="572">
        <f t="shared" ref="H13:M13" ca="1" si="12">IF(H4="費用",H7,SUMIF(INDIRECT(H$3&amp;"!$ｊ:$ｊ"),"）うち費用",INDIRECT(H$3&amp;"!$ｋ:$ｋ")))</f>
        <v>0</v>
      </c>
      <c r="I13" s="572">
        <f t="shared" ca="1" si="12"/>
        <v>0</v>
      </c>
      <c r="J13" s="572">
        <f t="shared" ca="1" si="12"/>
        <v>0</v>
      </c>
      <c r="K13" s="572">
        <f t="shared" ca="1" si="12"/>
        <v>578709</v>
      </c>
      <c r="L13" s="572">
        <f t="shared" ca="1" si="12"/>
        <v>196612</v>
      </c>
      <c r="M13" s="572">
        <f t="shared" ca="1" si="12"/>
        <v>0</v>
      </c>
      <c r="N13" s="572">
        <f t="shared" ref="N13" ca="1" si="13">IF(N4="費用",N7,SUMIF(INDIRECT(N$3&amp;"!$ｊ:$ｊ"),"）うち費用",INDIRECT(N$3&amp;"!$ｋ:$ｋ")))</f>
        <v>0</v>
      </c>
    </row>
    <row r="14" spans="1:14" s="546" customFormat="1" ht="13.5" customHeight="1">
      <c r="A14" s="538"/>
      <c r="B14" s="539"/>
      <c r="C14" s="547"/>
      <c r="D14" s="573"/>
      <c r="E14" s="2728"/>
      <c r="F14" s="574" t="s">
        <v>386</v>
      </c>
      <c r="G14" s="575">
        <f t="shared" ca="1" si="0"/>
        <v>0</v>
      </c>
      <c r="H14" s="562">
        <f t="shared" ref="H14:M14" ca="1" si="14">IF(H4="費用",H12-H13-H6,H12-H13)</f>
        <v>0</v>
      </c>
      <c r="I14" s="562">
        <f t="shared" ca="1" si="14"/>
        <v>0</v>
      </c>
      <c r="J14" s="562">
        <f t="shared" ca="1" si="14"/>
        <v>0</v>
      </c>
      <c r="K14" s="562">
        <f t="shared" ca="1" si="14"/>
        <v>0</v>
      </c>
      <c r="L14" s="562">
        <f t="shared" ca="1" si="14"/>
        <v>0</v>
      </c>
      <c r="M14" s="562">
        <f t="shared" ca="1" si="14"/>
        <v>0</v>
      </c>
      <c r="N14" s="562">
        <f t="shared" ref="N14" ca="1" si="15">IF(N4="費用",N12-N13-N6,N12-N13)</f>
        <v>0</v>
      </c>
    </row>
    <row r="15" spans="1:14" s="546" customFormat="1" ht="13.5" customHeight="1">
      <c r="A15" s="538"/>
      <c r="B15" s="539"/>
      <c r="C15" s="576"/>
      <c r="D15" s="541" t="s">
        <v>390</v>
      </c>
      <c r="E15" s="542"/>
      <c r="F15" s="543"/>
      <c r="G15" s="544">
        <f t="shared" ref="G15" ca="1" si="16">SUM(H15:M15)</f>
        <v>7340660</v>
      </c>
      <c r="H15" s="577">
        <f t="shared" ref="H15:M15" ca="1" si="17">SUM(H16:H18)</f>
        <v>528197</v>
      </c>
      <c r="I15" s="577">
        <f t="shared" ca="1" si="17"/>
        <v>2371069</v>
      </c>
      <c r="J15" s="577">
        <f ca="1">SUM(J16:J18)</f>
        <v>-9503</v>
      </c>
      <c r="K15" s="577">
        <f t="shared" ca="1" si="17"/>
        <v>887589</v>
      </c>
      <c r="L15" s="577">
        <f t="shared" ca="1" si="17"/>
        <v>2722790</v>
      </c>
      <c r="M15" s="577">
        <f t="shared" ca="1" si="17"/>
        <v>840518</v>
      </c>
      <c r="N15" s="577">
        <f t="shared" ref="N15" ca="1" si="18">SUM(N16:N18)</f>
        <v>866977</v>
      </c>
    </row>
    <row r="16" spans="1:14" s="546" customFormat="1" ht="13.5" customHeight="1">
      <c r="A16" s="538"/>
      <c r="B16" s="539"/>
      <c r="C16" s="547"/>
      <c r="D16" s="548"/>
      <c r="E16" s="549"/>
      <c r="F16" s="550" t="s">
        <v>391</v>
      </c>
      <c r="G16" s="551">
        <f ca="1">SUM(H16:N16)</f>
        <v>3304233</v>
      </c>
      <c r="H16" s="552">
        <f t="shared" ref="H16:N16" ca="1" si="19">SUMIF(INDIRECT(H$3&amp;"!$ｄ:$ｄ"),"共通仮設費",INDIRECT(H$3&amp;"!$I:$ｉ"))</f>
        <v>273827</v>
      </c>
      <c r="I16" s="552">
        <f t="shared" ca="1" si="19"/>
        <v>1031104</v>
      </c>
      <c r="J16" s="552">
        <f t="shared" ca="1" si="19"/>
        <v>1745</v>
      </c>
      <c r="K16" s="552">
        <f t="shared" ca="1" si="19"/>
        <v>452172</v>
      </c>
      <c r="L16" s="552">
        <f t="shared" ca="1" si="19"/>
        <v>1278994</v>
      </c>
      <c r="M16" s="552">
        <f t="shared" ca="1" si="19"/>
        <v>132205</v>
      </c>
      <c r="N16" s="552">
        <f t="shared" ca="1" si="19"/>
        <v>134186</v>
      </c>
    </row>
    <row r="17" spans="1:21" ht="13.5" customHeight="1">
      <c r="A17" s="538"/>
      <c r="B17" s="539"/>
      <c r="C17" s="547"/>
      <c r="D17" s="578"/>
      <c r="E17" s="579"/>
      <c r="F17" s="580" t="s">
        <v>392</v>
      </c>
      <c r="G17" s="581">
        <f>SUM(H17:N17)</f>
        <v>2522211</v>
      </c>
      <c r="H17" s="2625">
        <f>+変更諸経費表!G66</f>
        <v>50358</v>
      </c>
      <c r="I17" s="2625">
        <f>+変更諸経費表!J66</f>
        <v>617817</v>
      </c>
      <c r="J17" s="2625">
        <f>+変更諸経費表!K66</f>
        <v>-11739</v>
      </c>
      <c r="K17" s="2625">
        <f>+変更諸経費表!L66</f>
        <v>168129</v>
      </c>
      <c r="L17" s="2625">
        <f>+変更諸経費表!N66</f>
        <v>657728</v>
      </c>
      <c r="M17" s="2625">
        <f>+変更諸経費表!O66</f>
        <v>511139</v>
      </c>
      <c r="N17" s="2625">
        <f>+変更諸経費表!P66</f>
        <v>528779</v>
      </c>
    </row>
    <row r="18" spans="1:21" ht="13.5" customHeight="1">
      <c r="A18" s="538"/>
      <c r="B18" s="539"/>
      <c r="C18" s="547"/>
      <c r="D18" s="558"/>
      <c r="E18" s="559"/>
      <c r="F18" s="582" t="s">
        <v>393</v>
      </c>
      <c r="G18" s="583">
        <f>SUM(H18:N18)</f>
        <v>2381193</v>
      </c>
      <c r="H18" s="584">
        <f>+変更諸経費表!G74</f>
        <v>204012</v>
      </c>
      <c r="I18" s="584">
        <f>+変更諸経費表!J74</f>
        <v>722148</v>
      </c>
      <c r="J18" s="584">
        <f>+変更諸経費表!K74</f>
        <v>491</v>
      </c>
      <c r="K18" s="584">
        <f>+変更諸経費表!L74</f>
        <v>267288</v>
      </c>
      <c r="L18" s="584">
        <f>+変更諸経費表!N74</f>
        <v>786068</v>
      </c>
      <c r="M18" s="584">
        <f>+変更諸経費表!O74</f>
        <v>197174</v>
      </c>
      <c r="N18" s="584">
        <f>+変更諸経費表!P74</f>
        <v>204012</v>
      </c>
      <c r="U18" s="585"/>
    </row>
    <row r="19" spans="1:21" s="585" customFormat="1" ht="13.5" customHeight="1">
      <c r="A19" s="586"/>
      <c r="B19" s="587"/>
      <c r="C19" s="588"/>
      <c r="D19" s="589" t="s">
        <v>394</v>
      </c>
      <c r="E19" s="590"/>
      <c r="F19" s="591"/>
      <c r="G19" s="592">
        <f ca="1">SUM(H19:N19)</f>
        <v>26440355</v>
      </c>
      <c r="H19" s="593">
        <f t="shared" ref="H19:M19" ca="1" si="20">+H15+H5</f>
        <v>2288026</v>
      </c>
      <c r="I19" s="593">
        <f t="shared" ca="1" si="20"/>
        <v>8115789</v>
      </c>
      <c r="J19" s="593">
        <f t="shared" ca="1" si="20"/>
        <v>88750</v>
      </c>
      <c r="K19" s="593">
        <f t="shared" ca="1" si="20"/>
        <v>3025031</v>
      </c>
      <c r="L19" s="593">
        <f t="shared" ca="1" si="20"/>
        <v>9004350</v>
      </c>
      <c r="M19" s="593">
        <f t="shared" ca="1" si="20"/>
        <v>1925817</v>
      </c>
      <c r="N19" s="593">
        <f t="shared" ref="N19" ca="1" si="21">+N15+N5</f>
        <v>1992592</v>
      </c>
    </row>
    <row r="20" spans="1:21" s="585" customFormat="1" ht="13.5" customHeight="1">
      <c r="A20" s="594"/>
      <c r="B20" s="596"/>
      <c r="C20" s="764"/>
      <c r="D20" s="765"/>
      <c r="E20" s="596"/>
      <c r="F20" s="766"/>
      <c r="G20" s="767"/>
      <c r="H20" s="768"/>
      <c r="I20" s="768"/>
      <c r="J20" s="768"/>
      <c r="K20" s="768"/>
      <c r="L20" s="768"/>
      <c r="M20" s="768"/>
      <c r="N20" s="768"/>
    </row>
    <row r="21" spans="1:21" s="546" customFormat="1" ht="13.5" customHeight="1">
      <c r="A21" s="538"/>
      <c r="B21" s="640"/>
      <c r="C21" s="772"/>
      <c r="D21" s="777"/>
      <c r="E21" s="778"/>
      <c r="F21" s="784" t="s">
        <v>2463</v>
      </c>
      <c r="G21" s="569">
        <f>SUM(H21:N21)</f>
        <v>6551611</v>
      </c>
      <c r="H21" s="787">
        <f>+変更諸経費表!G80</f>
        <v>1512430</v>
      </c>
      <c r="I21" s="787">
        <f>+変更諸経費表!J80</f>
        <v>5039181</v>
      </c>
      <c r="J21" s="787">
        <f>+変更諸経費表!K70</f>
        <v>0</v>
      </c>
      <c r="K21" s="787">
        <f>+変更諸経費表!L70</f>
        <v>0</v>
      </c>
      <c r="L21" s="787">
        <f>+変更諸経費表!N70</f>
        <v>0</v>
      </c>
      <c r="M21" s="787">
        <f>+変更諸経費表!O70</f>
        <v>0</v>
      </c>
      <c r="N21" s="787">
        <f>+変更諸経費表!P70</f>
        <v>0</v>
      </c>
    </row>
    <row r="22" spans="1:21" s="585" customFormat="1" ht="13.5" customHeight="1">
      <c r="A22" s="783"/>
      <c r="B22" s="769"/>
      <c r="C22" s="547"/>
      <c r="D22" s="782"/>
      <c r="E22" s="779"/>
      <c r="F22" s="582" t="s">
        <v>2498</v>
      </c>
      <c r="G22" s="780">
        <f>SUM(H22:N22)</f>
        <v>3642966</v>
      </c>
      <c r="H22" s="584">
        <f>+変更諸経費表!G81</f>
        <v>188570</v>
      </c>
      <c r="I22" s="584">
        <f>+変更諸経費表!J81</f>
        <v>995819</v>
      </c>
      <c r="J22" s="584">
        <f>+変更諸経費表!K81</f>
        <v>-8369</v>
      </c>
      <c r="K22" s="584">
        <f>+変更諸経費表!L81</f>
        <v>323104</v>
      </c>
      <c r="L22" s="584">
        <f>+変更諸経費表!N81</f>
        <v>1073215</v>
      </c>
      <c r="M22" s="584">
        <f>+変更諸経費表!O81</f>
        <v>526542</v>
      </c>
      <c r="N22" s="584">
        <f>+変更諸経費表!P81</f>
        <v>544085</v>
      </c>
    </row>
    <row r="23" spans="1:21" s="585" customFormat="1" ht="13.5" customHeight="1">
      <c r="A23" s="587"/>
      <c r="B23" s="587"/>
      <c r="C23" s="588"/>
      <c r="D23" s="646"/>
      <c r="E23" s="781"/>
      <c r="F23" s="603" t="s">
        <v>2464</v>
      </c>
      <c r="G23" s="776">
        <f>SUM(H23:N23)</f>
        <v>19660000</v>
      </c>
      <c r="H23" s="545">
        <f>+変更諸経費表!G79</f>
        <v>1701000</v>
      </c>
      <c r="I23" s="545">
        <f>+変更諸経費表!J79</f>
        <v>6035000</v>
      </c>
      <c r="J23" s="545">
        <f>+変更諸経費表!K79</f>
        <v>66000</v>
      </c>
      <c r="K23" s="545">
        <f>+変更諸経費表!L79</f>
        <v>2249000</v>
      </c>
      <c r="L23" s="545">
        <f>+変更諸経費表!N79</f>
        <v>6696000</v>
      </c>
      <c r="M23" s="545">
        <f>+変更諸経費表!O79</f>
        <v>1432000</v>
      </c>
      <c r="N23" s="545">
        <f>+変更諸経費表!P79</f>
        <v>1481000</v>
      </c>
    </row>
    <row r="24" spans="1:21" s="585" customFormat="1" ht="13.5" customHeight="1">
      <c r="A24" s="594"/>
      <c r="B24" s="587"/>
      <c r="C24" s="773"/>
      <c r="D24" s="587"/>
      <c r="E24" s="587"/>
      <c r="F24" s="763"/>
      <c r="G24" s="774" t="str">
        <f ca="1">IF(G$23=G328,"","工事価格が一致ません。↑")</f>
        <v/>
      </c>
      <c r="H24" s="775" t="str">
        <f t="shared" ref="H24:M24" ca="1" si="22">IF(H$23=H328,"","↑error")</f>
        <v/>
      </c>
      <c r="I24" s="775" t="str">
        <f t="shared" ca="1" si="22"/>
        <v/>
      </c>
      <c r="J24" s="775" t="str">
        <f t="shared" ca="1" si="22"/>
        <v/>
      </c>
      <c r="K24" s="775" t="str">
        <f t="shared" ca="1" si="22"/>
        <v/>
      </c>
      <c r="L24" s="775" t="str">
        <f t="shared" ca="1" si="22"/>
        <v/>
      </c>
      <c r="M24" s="775" t="str">
        <f t="shared" ca="1" si="22"/>
        <v/>
      </c>
      <c r="N24" s="775" t="str">
        <f t="shared" ref="N24" ca="1" si="23">IF(N$23=N328,"","↑error")</f>
        <v/>
      </c>
    </row>
    <row r="25" spans="1:21" s="585" customFormat="1" ht="13.5" customHeight="1">
      <c r="A25" s="595" t="s">
        <v>395</v>
      </c>
      <c r="B25" s="596"/>
      <c r="C25" s="597"/>
      <c r="D25" s="596"/>
      <c r="E25" s="2721" t="s">
        <v>396</v>
      </c>
      <c r="F25" s="598"/>
      <c r="G25" s="599" t="s">
        <v>397</v>
      </c>
      <c r="H25" s="600" t="s">
        <v>398</v>
      </c>
      <c r="I25" s="600" t="s">
        <v>398</v>
      </c>
      <c r="J25" s="600" t="s">
        <v>398</v>
      </c>
      <c r="K25" s="600" t="s">
        <v>398</v>
      </c>
      <c r="L25" s="600" t="s">
        <v>398</v>
      </c>
      <c r="M25" s="600" t="s">
        <v>398</v>
      </c>
      <c r="N25" s="600" t="s">
        <v>398</v>
      </c>
    </row>
    <row r="26" spans="1:21" s="585" customFormat="1" ht="13.5" customHeight="1">
      <c r="A26" s="601"/>
      <c r="B26" s="2723" t="s">
        <v>399</v>
      </c>
      <c r="C26" s="2724"/>
      <c r="D26" s="2725"/>
      <c r="E26" s="2722"/>
      <c r="F26" s="602"/>
      <c r="G26" s="603" t="s">
        <v>400</v>
      </c>
      <c r="H26" s="604" t="s">
        <v>401</v>
      </c>
      <c r="I26" s="604" t="s">
        <v>401</v>
      </c>
      <c r="J26" s="604" t="s">
        <v>401</v>
      </c>
      <c r="K26" s="604" t="s">
        <v>401</v>
      </c>
      <c r="L26" s="604" t="s">
        <v>401</v>
      </c>
      <c r="M26" s="604" t="s">
        <v>401</v>
      </c>
      <c r="N26" s="604" t="s">
        <v>401</v>
      </c>
    </row>
    <row r="27" spans="1:21" ht="13.5" customHeight="1">
      <c r="A27" s="538"/>
      <c r="B27" s="605"/>
      <c r="C27" s="606" t="s">
        <v>402</v>
      </c>
      <c r="D27" s="607" t="s">
        <v>403</v>
      </c>
      <c r="E27" s="608">
        <v>38</v>
      </c>
      <c r="F27" s="609" t="s">
        <v>404</v>
      </c>
      <c r="G27" s="610">
        <f ca="1">SUM(H27:N27)</f>
        <v>14955439</v>
      </c>
      <c r="H27" s="570">
        <f t="shared" ref="H27:M27" ca="1" si="24">IF(H$4="費用",0,H11-SUM(H28:H52)-H91-H73)</f>
        <v>-62676</v>
      </c>
      <c r="I27" s="570">
        <f t="shared" ca="1" si="24"/>
        <v>5744720</v>
      </c>
      <c r="J27" s="570">
        <f t="shared" ca="1" si="24"/>
        <v>93600</v>
      </c>
      <c r="K27" s="570">
        <f t="shared" ca="1" si="24"/>
        <v>883933</v>
      </c>
      <c r="L27" s="570">
        <f t="shared" ca="1" si="24"/>
        <v>6084948</v>
      </c>
      <c r="M27" s="570">
        <f t="shared" ca="1" si="24"/>
        <v>1085299</v>
      </c>
      <c r="N27" s="570">
        <f t="shared" ref="N27" ca="1" si="25">IF(N$4="費用",0,N11-SUM(N28:N52)-N91-N73)</f>
        <v>1125615</v>
      </c>
    </row>
    <row r="28" spans="1:21" ht="13.5" hidden="1" customHeight="1">
      <c r="A28" s="538"/>
      <c r="B28" s="539"/>
      <c r="C28" s="611" t="s">
        <v>405</v>
      </c>
      <c r="D28" s="612" t="s">
        <v>403</v>
      </c>
      <c r="E28" s="613">
        <v>34</v>
      </c>
      <c r="F28" s="614" t="s">
        <v>406</v>
      </c>
      <c r="G28" s="615">
        <f>SUM(H28:M28)</f>
        <v>0</v>
      </c>
      <c r="H28" s="616"/>
      <c r="I28" s="616"/>
      <c r="J28" s="616"/>
      <c r="K28" s="616"/>
      <c r="L28" s="616"/>
      <c r="M28" s="616"/>
      <c r="N28" s="616"/>
    </row>
    <row r="29" spans="1:21" ht="13.5" hidden="1" customHeight="1">
      <c r="A29" s="538"/>
      <c r="B29" s="539"/>
      <c r="C29" s="606" t="s">
        <v>407</v>
      </c>
      <c r="D29" s="612" t="s">
        <v>403</v>
      </c>
      <c r="E29" s="613">
        <v>31</v>
      </c>
      <c r="F29" s="614" t="s">
        <v>408</v>
      </c>
      <c r="G29" s="615">
        <f t="shared" ref="G29:G51" si="26">SUM(H29:M29)</f>
        <v>0</v>
      </c>
      <c r="H29" s="616"/>
      <c r="I29" s="616"/>
      <c r="J29" s="616"/>
      <c r="K29" s="616"/>
      <c r="L29" s="616"/>
      <c r="M29" s="616"/>
      <c r="N29" s="616"/>
    </row>
    <row r="30" spans="1:21" ht="13.5" hidden="1" customHeight="1">
      <c r="A30" s="538"/>
      <c r="B30" s="539"/>
      <c r="C30" s="611" t="s">
        <v>409</v>
      </c>
      <c r="D30" s="612" t="s">
        <v>403</v>
      </c>
      <c r="E30" s="613">
        <v>25</v>
      </c>
      <c r="F30" s="614" t="s">
        <v>410</v>
      </c>
      <c r="G30" s="615">
        <f t="shared" si="26"/>
        <v>0</v>
      </c>
      <c r="H30" s="616"/>
      <c r="I30" s="616"/>
      <c r="J30" s="616"/>
      <c r="K30" s="616"/>
      <c r="L30" s="616"/>
      <c r="M30" s="616"/>
      <c r="N30" s="616"/>
    </row>
    <row r="31" spans="1:21" ht="13.5" hidden="1" customHeight="1">
      <c r="A31" s="538"/>
      <c r="B31" s="539"/>
      <c r="C31" s="606" t="s">
        <v>411</v>
      </c>
      <c r="D31" s="612" t="s">
        <v>403</v>
      </c>
      <c r="E31" s="613">
        <v>19</v>
      </c>
      <c r="F31" s="614" t="s">
        <v>412</v>
      </c>
      <c r="G31" s="615">
        <f t="shared" si="26"/>
        <v>0</v>
      </c>
      <c r="H31" s="616"/>
      <c r="I31" s="616"/>
      <c r="J31" s="616"/>
      <c r="K31" s="616"/>
      <c r="L31" s="616"/>
      <c r="M31" s="616"/>
      <c r="N31" s="616"/>
    </row>
    <row r="32" spans="1:21" ht="13.5" hidden="1" customHeight="1">
      <c r="A32" s="538"/>
      <c r="B32" s="539"/>
      <c r="C32" s="611" t="s">
        <v>413</v>
      </c>
      <c r="D32" s="612" t="s">
        <v>403</v>
      </c>
      <c r="E32" s="613">
        <v>17</v>
      </c>
      <c r="F32" s="614" t="s">
        <v>414</v>
      </c>
      <c r="G32" s="615">
        <f t="shared" si="26"/>
        <v>0</v>
      </c>
      <c r="H32" s="616"/>
      <c r="I32" s="616"/>
      <c r="J32" s="616"/>
      <c r="K32" s="616"/>
      <c r="L32" s="616"/>
      <c r="M32" s="616"/>
      <c r="N32" s="616"/>
    </row>
    <row r="33" spans="1:14" ht="13.5" hidden="1" customHeight="1">
      <c r="A33" s="538"/>
      <c r="B33" s="539"/>
      <c r="C33" s="606" t="s">
        <v>415</v>
      </c>
      <c r="D33" s="612" t="s">
        <v>403</v>
      </c>
      <c r="E33" s="613">
        <v>15</v>
      </c>
      <c r="F33" s="614" t="s">
        <v>416</v>
      </c>
      <c r="G33" s="615">
        <f t="shared" si="26"/>
        <v>0</v>
      </c>
      <c r="H33" s="616"/>
      <c r="I33" s="616"/>
      <c r="J33" s="616"/>
      <c r="K33" s="616"/>
      <c r="L33" s="616"/>
      <c r="M33" s="616"/>
      <c r="N33" s="616"/>
    </row>
    <row r="34" spans="1:14" ht="13.5" hidden="1" customHeight="1">
      <c r="A34" s="538"/>
      <c r="B34" s="539"/>
      <c r="C34" s="611" t="s">
        <v>417</v>
      </c>
      <c r="D34" s="612" t="s">
        <v>403</v>
      </c>
      <c r="E34" s="613">
        <v>10</v>
      </c>
      <c r="F34" s="614" t="s">
        <v>418</v>
      </c>
      <c r="G34" s="615">
        <f t="shared" si="26"/>
        <v>0</v>
      </c>
      <c r="H34" s="616"/>
      <c r="I34" s="616"/>
      <c r="J34" s="616"/>
      <c r="K34" s="616"/>
      <c r="L34" s="616"/>
      <c r="M34" s="616"/>
      <c r="N34" s="616"/>
    </row>
    <row r="35" spans="1:14" ht="13.5" hidden="1" customHeight="1">
      <c r="A35" s="538"/>
      <c r="B35" s="539"/>
      <c r="C35" s="606" t="s">
        <v>419</v>
      </c>
      <c r="D35" s="612" t="s">
        <v>403</v>
      </c>
      <c r="E35" s="613">
        <v>7</v>
      </c>
      <c r="F35" s="614" t="s">
        <v>420</v>
      </c>
      <c r="G35" s="615">
        <f t="shared" si="26"/>
        <v>0</v>
      </c>
      <c r="H35" s="616"/>
      <c r="I35" s="616"/>
      <c r="J35" s="616"/>
      <c r="K35" s="616"/>
      <c r="L35" s="616"/>
      <c r="M35" s="616"/>
      <c r="N35" s="616"/>
    </row>
    <row r="36" spans="1:14" s="532" customFormat="1" ht="13.5" hidden="1" customHeight="1">
      <c r="A36" s="538"/>
      <c r="B36" s="539"/>
      <c r="C36" s="611" t="s">
        <v>421</v>
      </c>
      <c r="D36" s="617" t="s">
        <v>422</v>
      </c>
      <c r="E36" s="613">
        <v>6</v>
      </c>
      <c r="F36" s="618" t="s">
        <v>423</v>
      </c>
      <c r="G36" s="615">
        <f t="shared" si="26"/>
        <v>0</v>
      </c>
      <c r="H36" s="620"/>
      <c r="I36" s="620"/>
      <c r="J36" s="620"/>
      <c r="K36" s="620"/>
      <c r="L36" s="620"/>
      <c r="M36" s="620"/>
      <c r="N36" s="620"/>
    </row>
    <row r="37" spans="1:14" s="532" customFormat="1" ht="13.5" hidden="1" customHeight="1">
      <c r="A37" s="538"/>
      <c r="B37" s="539"/>
      <c r="C37" s="606" t="s">
        <v>424</v>
      </c>
      <c r="D37" s="617" t="s">
        <v>422</v>
      </c>
      <c r="E37" s="613">
        <v>15</v>
      </c>
      <c r="F37" s="618" t="s">
        <v>425</v>
      </c>
      <c r="G37" s="615">
        <f t="shared" si="26"/>
        <v>0</v>
      </c>
      <c r="H37" s="620"/>
      <c r="I37" s="620"/>
      <c r="J37" s="620"/>
      <c r="K37" s="620"/>
      <c r="L37" s="620"/>
      <c r="M37" s="620"/>
      <c r="N37" s="620"/>
    </row>
    <row r="38" spans="1:14" s="532" customFormat="1" ht="13.5" hidden="1" customHeight="1">
      <c r="A38" s="538"/>
      <c r="B38" s="539"/>
      <c r="C38" s="611" t="s">
        <v>426</v>
      </c>
      <c r="D38" s="617" t="s">
        <v>422</v>
      </c>
      <c r="E38" s="613">
        <v>15</v>
      </c>
      <c r="F38" s="618" t="s">
        <v>427</v>
      </c>
      <c r="G38" s="615">
        <f t="shared" si="26"/>
        <v>0</v>
      </c>
      <c r="H38" s="620"/>
      <c r="I38" s="620"/>
      <c r="J38" s="620"/>
      <c r="K38" s="620"/>
      <c r="L38" s="620"/>
      <c r="M38" s="620"/>
      <c r="N38" s="620"/>
    </row>
    <row r="39" spans="1:14" s="532" customFormat="1" ht="13.5" hidden="1" customHeight="1">
      <c r="A39" s="538"/>
      <c r="B39" s="539"/>
      <c r="C39" s="606" t="s">
        <v>428</v>
      </c>
      <c r="D39" s="617" t="s">
        <v>422</v>
      </c>
      <c r="E39" s="613">
        <v>13</v>
      </c>
      <c r="F39" s="618" t="s">
        <v>429</v>
      </c>
      <c r="G39" s="615">
        <f t="shared" si="26"/>
        <v>0</v>
      </c>
      <c r="H39" s="620"/>
      <c r="I39" s="620"/>
      <c r="J39" s="620"/>
      <c r="K39" s="620"/>
      <c r="L39" s="620"/>
      <c r="M39" s="620"/>
      <c r="N39" s="620"/>
    </row>
    <row r="40" spans="1:14" s="532" customFormat="1" ht="13.5" hidden="1" customHeight="1">
      <c r="A40" s="538"/>
      <c r="B40" s="539"/>
      <c r="C40" s="611" t="s">
        <v>430</v>
      </c>
      <c r="D40" s="617" t="s">
        <v>422</v>
      </c>
      <c r="E40" s="613">
        <v>15</v>
      </c>
      <c r="F40" s="618" t="s">
        <v>431</v>
      </c>
      <c r="G40" s="615">
        <f t="shared" si="26"/>
        <v>0</v>
      </c>
      <c r="H40" s="620"/>
      <c r="I40" s="620"/>
      <c r="J40" s="620"/>
      <c r="K40" s="620"/>
      <c r="L40" s="620"/>
      <c r="M40" s="620"/>
      <c r="N40" s="620"/>
    </row>
    <row r="41" spans="1:14" s="532" customFormat="1" ht="13.5" hidden="1" customHeight="1">
      <c r="A41" s="538"/>
      <c r="B41" s="539"/>
      <c r="C41" s="606" t="s">
        <v>432</v>
      </c>
      <c r="D41" s="617" t="s">
        <v>422</v>
      </c>
      <c r="E41" s="613">
        <v>17</v>
      </c>
      <c r="F41" s="618" t="s">
        <v>433</v>
      </c>
      <c r="G41" s="615">
        <f t="shared" si="26"/>
        <v>0</v>
      </c>
      <c r="H41" s="620"/>
      <c r="I41" s="620"/>
      <c r="J41" s="620"/>
      <c r="K41" s="620"/>
      <c r="L41" s="620"/>
      <c r="M41" s="620"/>
      <c r="N41" s="620"/>
    </row>
    <row r="42" spans="1:14" s="532" customFormat="1" ht="13.5" hidden="1" customHeight="1">
      <c r="A42" s="538"/>
      <c r="B42" s="539"/>
      <c r="C42" s="611" t="s">
        <v>434</v>
      </c>
      <c r="D42" s="617" t="s">
        <v>422</v>
      </c>
      <c r="E42" s="613">
        <v>15</v>
      </c>
      <c r="F42" s="618" t="s">
        <v>435</v>
      </c>
      <c r="G42" s="615">
        <f t="shared" si="26"/>
        <v>0</v>
      </c>
      <c r="H42" s="620"/>
      <c r="I42" s="620"/>
      <c r="J42" s="620"/>
      <c r="K42" s="620"/>
      <c r="L42" s="620"/>
      <c r="M42" s="620"/>
      <c r="N42" s="620"/>
    </row>
    <row r="43" spans="1:14" ht="13.5" hidden="1" customHeight="1">
      <c r="A43" s="538"/>
      <c r="B43" s="539"/>
      <c r="C43" s="606" t="s">
        <v>436</v>
      </c>
      <c r="D43" s="612"/>
      <c r="E43" s="613">
        <v>8</v>
      </c>
      <c r="F43" s="614" t="s">
        <v>437</v>
      </c>
      <c r="G43" s="615">
        <f t="shared" si="26"/>
        <v>0</v>
      </c>
      <c r="H43" s="616"/>
      <c r="I43" s="616"/>
      <c r="J43" s="616"/>
      <c r="K43" s="616"/>
      <c r="L43" s="616"/>
      <c r="M43" s="616"/>
      <c r="N43" s="616"/>
    </row>
    <row r="44" spans="1:14" ht="13.5" hidden="1" customHeight="1">
      <c r="A44" s="538"/>
      <c r="B44" s="539"/>
      <c r="C44" s="611" t="s">
        <v>438</v>
      </c>
      <c r="D44" s="612" t="s">
        <v>439</v>
      </c>
      <c r="E44" s="613">
        <v>12</v>
      </c>
      <c r="F44" s="614" t="s">
        <v>440</v>
      </c>
      <c r="G44" s="615">
        <f t="shared" si="26"/>
        <v>0</v>
      </c>
      <c r="H44" s="616"/>
      <c r="I44" s="616"/>
      <c r="J44" s="616"/>
      <c r="K44" s="616"/>
      <c r="L44" s="616"/>
      <c r="M44" s="616"/>
      <c r="N44" s="616"/>
    </row>
    <row r="45" spans="1:14" ht="13.5" hidden="1" customHeight="1">
      <c r="A45" s="538"/>
      <c r="B45" s="539"/>
      <c r="C45" s="606" t="s">
        <v>441</v>
      </c>
      <c r="D45" s="612" t="s">
        <v>439</v>
      </c>
      <c r="E45" s="613">
        <v>15</v>
      </c>
      <c r="F45" s="614" t="s">
        <v>442</v>
      </c>
      <c r="G45" s="615">
        <f t="shared" si="26"/>
        <v>0</v>
      </c>
      <c r="H45" s="616"/>
      <c r="I45" s="616"/>
      <c r="J45" s="616"/>
      <c r="K45" s="616"/>
      <c r="L45" s="616"/>
      <c r="M45" s="616"/>
      <c r="N45" s="616"/>
    </row>
    <row r="46" spans="1:14" ht="13.5" hidden="1" customHeight="1">
      <c r="A46" s="538"/>
      <c r="B46" s="539"/>
      <c r="C46" s="611" t="s">
        <v>443</v>
      </c>
      <c r="D46" s="612" t="s">
        <v>439</v>
      </c>
      <c r="E46" s="613">
        <v>8</v>
      </c>
      <c r="F46" s="614" t="s">
        <v>444</v>
      </c>
      <c r="G46" s="615">
        <f t="shared" si="26"/>
        <v>0</v>
      </c>
      <c r="H46" s="616"/>
      <c r="I46" s="616"/>
      <c r="J46" s="616"/>
      <c r="K46" s="616"/>
      <c r="L46" s="616"/>
      <c r="M46" s="616"/>
      <c r="N46" s="616"/>
    </row>
    <row r="47" spans="1:14" ht="13.5" hidden="1" customHeight="1">
      <c r="A47" s="538"/>
      <c r="B47" s="539"/>
      <c r="C47" s="606" t="s">
        <v>445</v>
      </c>
      <c r="D47" s="612" t="s">
        <v>439</v>
      </c>
      <c r="E47" s="613">
        <v>3</v>
      </c>
      <c r="F47" s="614" t="s">
        <v>446</v>
      </c>
      <c r="G47" s="615">
        <f t="shared" ca="1" si="26"/>
        <v>0</v>
      </c>
      <c r="H47" s="620">
        <f t="shared" ref="H47:N47" ca="1" si="27">SUMIF(INDIRECT(H$3&amp;"!$ｎ:$ｎ"),"店舗用簡易設備",INDIRECT(H$3&amp;"!$i:$i"))</f>
        <v>0</v>
      </c>
      <c r="I47" s="620">
        <f t="shared" ca="1" si="27"/>
        <v>0</v>
      </c>
      <c r="J47" s="620">
        <f t="shared" ca="1" si="27"/>
        <v>0</v>
      </c>
      <c r="K47" s="620">
        <f t="shared" ca="1" si="27"/>
        <v>0</v>
      </c>
      <c r="L47" s="620">
        <f t="shared" ca="1" si="27"/>
        <v>0</v>
      </c>
      <c r="M47" s="620">
        <f t="shared" ca="1" si="27"/>
        <v>0</v>
      </c>
      <c r="N47" s="620">
        <f t="shared" ca="1" si="27"/>
        <v>0</v>
      </c>
    </row>
    <row r="48" spans="1:14" ht="13.5" hidden="1" customHeight="1">
      <c r="A48" s="538"/>
      <c r="B48" s="539"/>
      <c r="C48" s="611" t="s">
        <v>447</v>
      </c>
      <c r="D48" s="612" t="s">
        <v>439</v>
      </c>
      <c r="E48" s="613">
        <v>3</v>
      </c>
      <c r="F48" s="614" t="s">
        <v>448</v>
      </c>
      <c r="G48" s="615">
        <f t="shared" ca="1" si="26"/>
        <v>0</v>
      </c>
      <c r="H48" s="620">
        <f t="shared" ref="H48:N48" ca="1" si="28">SUMIF(INDIRECT(H$3&amp;"!$ｎ:$ｎ"),"可動間仕切り-簡易なもの",INDIRECT(H$3&amp;"!$i:$i"))</f>
        <v>0</v>
      </c>
      <c r="I48" s="620">
        <f t="shared" ca="1" si="28"/>
        <v>0</v>
      </c>
      <c r="J48" s="620">
        <f t="shared" ca="1" si="28"/>
        <v>0</v>
      </c>
      <c r="K48" s="620">
        <f t="shared" ca="1" si="28"/>
        <v>0</v>
      </c>
      <c r="L48" s="620">
        <f t="shared" ca="1" si="28"/>
        <v>0</v>
      </c>
      <c r="M48" s="620">
        <f t="shared" ca="1" si="28"/>
        <v>0</v>
      </c>
      <c r="N48" s="620">
        <f t="shared" ca="1" si="28"/>
        <v>0</v>
      </c>
    </row>
    <row r="49" spans="1:14" ht="13.5" hidden="1" customHeight="1">
      <c r="A49" s="538"/>
      <c r="B49" s="605"/>
      <c r="C49" s="606" t="s">
        <v>449</v>
      </c>
      <c r="D49" s="612" t="s">
        <v>439</v>
      </c>
      <c r="E49" s="613">
        <v>15</v>
      </c>
      <c r="F49" s="614" t="s">
        <v>450</v>
      </c>
      <c r="G49" s="615">
        <f t="shared" ca="1" si="26"/>
        <v>0</v>
      </c>
      <c r="H49" s="620">
        <f t="shared" ref="H49:N49" ca="1" si="29">SUMIF(INDIRECT(H$3&amp;"!$ｎ:$ｎ"),"可動間仕切り-その他",INDIRECT(H$3&amp;"!$i:$i"))</f>
        <v>0</v>
      </c>
      <c r="I49" s="620">
        <f t="shared" ca="1" si="29"/>
        <v>0</v>
      </c>
      <c r="J49" s="620">
        <f t="shared" ca="1" si="29"/>
        <v>0</v>
      </c>
      <c r="K49" s="620">
        <f t="shared" ca="1" si="29"/>
        <v>0</v>
      </c>
      <c r="L49" s="620">
        <f t="shared" ca="1" si="29"/>
        <v>0</v>
      </c>
      <c r="M49" s="620">
        <f t="shared" ca="1" si="29"/>
        <v>0</v>
      </c>
      <c r="N49" s="620">
        <f t="shared" ca="1" si="29"/>
        <v>0</v>
      </c>
    </row>
    <row r="50" spans="1:14" ht="13.5" hidden="1" customHeight="1">
      <c r="A50" s="538"/>
      <c r="B50" s="539"/>
      <c r="C50" s="611" t="s">
        <v>451</v>
      </c>
      <c r="D50" s="612" t="s">
        <v>439</v>
      </c>
      <c r="E50" s="613">
        <v>18</v>
      </c>
      <c r="F50" s="614" t="s">
        <v>452</v>
      </c>
      <c r="G50" s="615">
        <f t="shared" ca="1" si="26"/>
        <v>0</v>
      </c>
      <c r="H50" s="620">
        <f t="shared" ref="H50:N50" ca="1" si="30">SUMIF(INDIRECT(H$3&amp;"!$ｎ:$ｎ"),"シャッター等（金属製）",INDIRECT(H$3&amp;"!$i:$i"))</f>
        <v>0</v>
      </c>
      <c r="I50" s="620">
        <f t="shared" ca="1" si="30"/>
        <v>0</v>
      </c>
      <c r="J50" s="620">
        <f t="shared" ca="1" si="30"/>
        <v>0</v>
      </c>
      <c r="K50" s="620">
        <f t="shared" ca="1" si="30"/>
        <v>0</v>
      </c>
      <c r="L50" s="620">
        <f t="shared" ca="1" si="30"/>
        <v>0</v>
      </c>
      <c r="M50" s="620">
        <f t="shared" ca="1" si="30"/>
        <v>0</v>
      </c>
      <c r="N50" s="620">
        <f t="shared" ca="1" si="30"/>
        <v>0</v>
      </c>
    </row>
    <row r="51" spans="1:14" ht="13.5" hidden="1" customHeight="1">
      <c r="A51" s="538"/>
      <c r="B51" s="539"/>
      <c r="C51" s="606" t="s">
        <v>453</v>
      </c>
      <c r="D51" s="612" t="s">
        <v>439</v>
      </c>
      <c r="E51" s="621">
        <v>10</v>
      </c>
      <c r="F51" s="614" t="s">
        <v>454</v>
      </c>
      <c r="G51" s="615">
        <f t="shared" ca="1" si="26"/>
        <v>0</v>
      </c>
      <c r="H51" s="620">
        <f t="shared" ref="H51:N51" ca="1" si="31">SUMIF(INDIRECT(H$3&amp;"!$ｎ:$ｎ"),"シャッター等（その他）",INDIRECT(H$3&amp;"!$i:$i"))</f>
        <v>0</v>
      </c>
      <c r="I51" s="620">
        <f t="shared" ca="1" si="31"/>
        <v>0</v>
      </c>
      <c r="J51" s="620">
        <f t="shared" ca="1" si="31"/>
        <v>0</v>
      </c>
      <c r="K51" s="620">
        <f t="shared" ca="1" si="31"/>
        <v>0</v>
      </c>
      <c r="L51" s="620">
        <f t="shared" ca="1" si="31"/>
        <v>0</v>
      </c>
      <c r="M51" s="620">
        <f t="shared" ca="1" si="31"/>
        <v>0</v>
      </c>
      <c r="N51" s="620">
        <f t="shared" ca="1" si="31"/>
        <v>0</v>
      </c>
    </row>
    <row r="52" spans="1:14" ht="13.5" hidden="1" customHeight="1">
      <c r="A52" s="538"/>
      <c r="B52" s="539"/>
      <c r="C52" s="622"/>
      <c r="D52" s="623"/>
      <c r="E52" s="624"/>
      <c r="F52" s="625"/>
      <c r="G52" s="626">
        <f>SUM(H52:N52)</f>
        <v>0</v>
      </c>
      <c r="H52" s="616"/>
      <c r="I52" s="616"/>
      <c r="J52" s="616"/>
      <c r="K52" s="616"/>
      <c r="L52" s="616"/>
      <c r="M52" s="616"/>
      <c r="N52" s="616"/>
    </row>
    <row r="53" spans="1:14" ht="13.5" customHeight="1">
      <c r="A53" s="627"/>
      <c r="B53" s="628"/>
      <c r="C53" s="628"/>
      <c r="D53" s="628"/>
      <c r="E53" s="629"/>
      <c r="F53" s="630" t="s">
        <v>455</v>
      </c>
      <c r="G53" s="631">
        <f ca="1">SUM(H53:N53)</f>
        <v>14955439</v>
      </c>
      <c r="H53" s="632">
        <f t="shared" ref="H53:M53" ca="1" si="32">IF(H$4="費用",0,SUM(H27:H52))</f>
        <v>-62676</v>
      </c>
      <c r="I53" s="632">
        <f t="shared" ca="1" si="32"/>
        <v>5744720</v>
      </c>
      <c r="J53" s="632">
        <f t="shared" ca="1" si="32"/>
        <v>93600</v>
      </c>
      <c r="K53" s="632">
        <f t="shared" ca="1" si="32"/>
        <v>883933</v>
      </c>
      <c r="L53" s="632">
        <f t="shared" ca="1" si="32"/>
        <v>6084948</v>
      </c>
      <c r="M53" s="632">
        <f t="shared" ca="1" si="32"/>
        <v>1085299</v>
      </c>
      <c r="N53" s="632">
        <f t="shared" ref="N53" ca="1" si="33">IF(N$4="費用",0,SUM(N27:N52))</f>
        <v>1125615</v>
      </c>
    </row>
    <row r="54" spans="1:14" s="585" customFormat="1" ht="13.5" hidden="1" customHeight="1">
      <c r="A54" s="595" t="s">
        <v>456</v>
      </c>
      <c r="B54" s="596"/>
      <c r="C54" s="597"/>
      <c r="D54" s="596"/>
      <c r="E54" s="2721" t="s">
        <v>396</v>
      </c>
      <c r="F54" s="598"/>
      <c r="G54" s="599" t="s">
        <v>397</v>
      </c>
      <c r="H54" s="600" t="s">
        <v>457</v>
      </c>
      <c r="I54" s="600" t="s">
        <v>457</v>
      </c>
      <c r="J54" s="600" t="s">
        <v>457</v>
      </c>
      <c r="K54" s="600" t="s">
        <v>457</v>
      </c>
      <c r="L54" s="600" t="s">
        <v>457</v>
      </c>
      <c r="M54" s="600" t="s">
        <v>457</v>
      </c>
      <c r="N54" s="600" t="s">
        <v>457</v>
      </c>
    </row>
    <row r="55" spans="1:14" s="585" customFormat="1" ht="13.5" hidden="1" customHeight="1">
      <c r="A55" s="601"/>
      <c r="B55" s="2723" t="s">
        <v>458</v>
      </c>
      <c r="C55" s="2724"/>
      <c r="D55" s="2725"/>
      <c r="E55" s="2722"/>
      <c r="F55" s="602"/>
      <c r="G55" s="603" t="s">
        <v>459</v>
      </c>
      <c r="H55" s="633" t="s">
        <v>460</v>
      </c>
      <c r="I55" s="633" t="s">
        <v>460</v>
      </c>
      <c r="J55" s="633" t="s">
        <v>460</v>
      </c>
      <c r="K55" s="633" t="s">
        <v>460</v>
      </c>
      <c r="L55" s="633" t="s">
        <v>460</v>
      </c>
      <c r="M55" s="633" t="s">
        <v>460</v>
      </c>
      <c r="N55" s="633" t="s">
        <v>460</v>
      </c>
    </row>
    <row r="56" spans="1:14" ht="13.5" hidden="1" customHeight="1">
      <c r="A56" s="538"/>
      <c r="B56" s="605"/>
      <c r="C56" s="607" t="s">
        <v>461</v>
      </c>
      <c r="D56" s="607"/>
      <c r="E56" s="608">
        <v>32</v>
      </c>
      <c r="F56" s="609"/>
      <c r="G56" s="615">
        <f>SUM(H56:M56)</f>
        <v>0</v>
      </c>
      <c r="H56" s="620">
        <f t="shared" ref="H56:M56" si="34">SUM(H57:H58)</f>
        <v>0</v>
      </c>
      <c r="I56" s="620">
        <f t="shared" si="34"/>
        <v>0</v>
      </c>
      <c r="J56" s="620">
        <f t="shared" si="34"/>
        <v>0</v>
      </c>
      <c r="K56" s="620">
        <f t="shared" si="34"/>
        <v>0</v>
      </c>
      <c r="L56" s="620">
        <f t="shared" si="34"/>
        <v>0</v>
      </c>
      <c r="M56" s="620">
        <f t="shared" si="34"/>
        <v>0</v>
      </c>
      <c r="N56" s="620">
        <f t="shared" ref="N56" si="35">SUM(N57:N58)</f>
        <v>0</v>
      </c>
    </row>
    <row r="57" spans="1:14" ht="13.5" hidden="1" customHeight="1">
      <c r="A57" s="538"/>
      <c r="B57" s="539"/>
      <c r="C57" s="611" t="s">
        <v>462</v>
      </c>
      <c r="D57" s="612" t="s">
        <v>463</v>
      </c>
      <c r="E57" s="613"/>
      <c r="F57" s="614" t="s">
        <v>464</v>
      </c>
      <c r="G57" s="615"/>
      <c r="H57" s="616"/>
      <c r="I57" s="616"/>
      <c r="J57" s="616"/>
      <c r="K57" s="616"/>
      <c r="L57" s="616"/>
      <c r="M57" s="616"/>
      <c r="N57" s="616"/>
    </row>
    <row r="58" spans="1:14" ht="13.5" hidden="1" customHeight="1">
      <c r="A58" s="538"/>
      <c r="B58" s="539"/>
      <c r="C58" s="634" t="s">
        <v>465</v>
      </c>
      <c r="D58" s="635" t="s">
        <v>466</v>
      </c>
      <c r="E58" s="636"/>
      <c r="F58" s="637" t="s">
        <v>467</v>
      </c>
      <c r="G58" s="638"/>
      <c r="H58" s="639"/>
      <c r="I58" s="639"/>
      <c r="J58" s="639"/>
      <c r="K58" s="639"/>
      <c r="L58" s="639"/>
      <c r="M58" s="639"/>
      <c r="N58" s="639"/>
    </row>
    <row r="59" spans="1:14" ht="13.5" hidden="1" customHeight="1">
      <c r="A59" s="538"/>
      <c r="B59" s="539"/>
      <c r="C59" s="640"/>
      <c r="D59" s="641"/>
      <c r="E59" s="642"/>
      <c r="F59" s="643"/>
      <c r="G59" s="644" t="s">
        <v>397</v>
      </c>
      <c r="H59" s="645" t="s">
        <v>457</v>
      </c>
      <c r="I59" s="645" t="s">
        <v>457</v>
      </c>
      <c r="J59" s="645" t="s">
        <v>457</v>
      </c>
      <c r="K59" s="645" t="s">
        <v>457</v>
      </c>
      <c r="L59" s="645" t="s">
        <v>457</v>
      </c>
      <c r="M59" s="645" t="s">
        <v>457</v>
      </c>
      <c r="N59" s="645" t="s">
        <v>457</v>
      </c>
    </row>
    <row r="60" spans="1:14" ht="13.5" hidden="1" customHeight="1">
      <c r="A60" s="538"/>
      <c r="B60" s="539"/>
      <c r="C60" s="646"/>
      <c r="D60" s="647"/>
      <c r="E60" s="648"/>
      <c r="F60" s="649"/>
      <c r="G60" s="603" t="s">
        <v>400</v>
      </c>
      <c r="H60" s="650"/>
      <c r="I60" s="650"/>
      <c r="J60" s="650"/>
      <c r="K60" s="650"/>
      <c r="L60" s="650"/>
      <c r="M60" s="650"/>
      <c r="N60" s="650"/>
    </row>
    <row r="61" spans="1:14" ht="13.5" hidden="1" customHeight="1">
      <c r="A61" s="538"/>
      <c r="B61" s="539"/>
      <c r="C61" s="651" t="s">
        <v>468</v>
      </c>
      <c r="D61" s="651"/>
      <c r="E61" s="652"/>
      <c r="F61" s="653"/>
      <c r="G61" s="654"/>
      <c r="H61" s="552"/>
      <c r="I61" s="552"/>
      <c r="J61" s="552"/>
      <c r="K61" s="552"/>
      <c r="L61" s="552"/>
      <c r="M61" s="552"/>
      <c r="N61" s="552"/>
    </row>
    <row r="62" spans="1:14" ht="13.5" hidden="1" customHeight="1">
      <c r="A62" s="538"/>
      <c r="B62" s="539"/>
      <c r="C62" s="611" t="s">
        <v>462</v>
      </c>
      <c r="D62" s="612" t="s">
        <v>463</v>
      </c>
      <c r="E62" s="613">
        <v>15</v>
      </c>
      <c r="F62" s="614" t="s">
        <v>469</v>
      </c>
      <c r="G62" s="615">
        <f>SUM(H62:M62)</f>
        <v>0</v>
      </c>
      <c r="H62" s="616"/>
      <c r="I62" s="616"/>
      <c r="J62" s="616"/>
      <c r="K62" s="616"/>
      <c r="L62" s="616"/>
      <c r="M62" s="616"/>
      <c r="N62" s="616"/>
    </row>
    <row r="63" spans="1:14" ht="13.5" hidden="1" customHeight="1">
      <c r="A63" s="538"/>
      <c r="B63" s="539"/>
      <c r="C63" s="611" t="s">
        <v>465</v>
      </c>
      <c r="D63" s="612" t="s">
        <v>463</v>
      </c>
      <c r="E63" s="613">
        <v>10</v>
      </c>
      <c r="F63" s="614" t="s">
        <v>470</v>
      </c>
      <c r="G63" s="615">
        <f t="shared" ref="G63:G72" si="36">SUM(H63:M63)</f>
        <v>0</v>
      </c>
      <c r="H63" s="616"/>
      <c r="I63" s="616"/>
      <c r="J63" s="616"/>
      <c r="K63" s="616"/>
      <c r="L63" s="616"/>
      <c r="M63" s="616"/>
      <c r="N63" s="616"/>
    </row>
    <row r="64" spans="1:14" ht="13.5" hidden="1" customHeight="1">
      <c r="A64" s="538"/>
      <c r="B64" s="539"/>
      <c r="C64" s="611" t="s">
        <v>471</v>
      </c>
      <c r="D64" s="612" t="s">
        <v>463</v>
      </c>
      <c r="E64" s="613">
        <v>3</v>
      </c>
      <c r="F64" s="618" t="s">
        <v>472</v>
      </c>
      <c r="G64" s="615">
        <f t="shared" si="36"/>
        <v>0</v>
      </c>
      <c r="H64" s="616"/>
      <c r="I64" s="616"/>
      <c r="J64" s="616"/>
      <c r="K64" s="616"/>
      <c r="L64" s="616"/>
      <c r="M64" s="616"/>
      <c r="N64" s="616"/>
    </row>
    <row r="65" spans="1:14" ht="13.5" hidden="1" customHeight="1">
      <c r="A65" s="538"/>
      <c r="B65" s="539"/>
      <c r="C65" s="611" t="s">
        <v>473</v>
      </c>
      <c r="D65" s="612" t="s">
        <v>474</v>
      </c>
      <c r="E65" s="613">
        <v>30</v>
      </c>
      <c r="F65" s="618" t="s">
        <v>475</v>
      </c>
      <c r="G65" s="615">
        <f t="shared" si="36"/>
        <v>0</v>
      </c>
      <c r="H65" s="616"/>
      <c r="I65" s="616"/>
      <c r="J65" s="616"/>
      <c r="K65" s="616"/>
      <c r="L65" s="616"/>
      <c r="M65" s="616"/>
      <c r="N65" s="616"/>
    </row>
    <row r="66" spans="1:14" ht="13.5" hidden="1" customHeight="1">
      <c r="A66" s="538"/>
      <c r="B66" s="539"/>
      <c r="C66" s="611" t="s">
        <v>476</v>
      </c>
      <c r="D66" s="612" t="s">
        <v>477</v>
      </c>
      <c r="E66" s="613">
        <v>60</v>
      </c>
      <c r="F66" s="618" t="s">
        <v>475</v>
      </c>
      <c r="G66" s="615">
        <f t="shared" si="36"/>
        <v>0</v>
      </c>
      <c r="H66" s="616"/>
      <c r="I66" s="616"/>
      <c r="J66" s="616"/>
      <c r="K66" s="616"/>
      <c r="L66" s="616"/>
      <c r="M66" s="616"/>
      <c r="N66" s="616"/>
    </row>
    <row r="67" spans="1:14" ht="13.5" hidden="1" customHeight="1">
      <c r="A67" s="538"/>
      <c r="B67" s="539"/>
      <c r="C67" s="611" t="s">
        <v>478</v>
      </c>
      <c r="D67" s="612" t="s">
        <v>479</v>
      </c>
      <c r="E67" s="613">
        <v>15</v>
      </c>
      <c r="F67" s="618" t="s">
        <v>480</v>
      </c>
      <c r="G67" s="615">
        <f t="shared" si="36"/>
        <v>0</v>
      </c>
      <c r="H67" s="616"/>
      <c r="I67" s="616"/>
      <c r="J67" s="616"/>
      <c r="K67" s="616"/>
      <c r="L67" s="616"/>
      <c r="M67" s="616"/>
      <c r="N67" s="616"/>
    </row>
    <row r="68" spans="1:14" ht="13.5" hidden="1" customHeight="1">
      <c r="A68" s="538"/>
      <c r="B68" s="539"/>
      <c r="C68" s="611" t="s">
        <v>481</v>
      </c>
      <c r="D68" s="612" t="s">
        <v>477</v>
      </c>
      <c r="E68" s="613">
        <v>40</v>
      </c>
      <c r="F68" s="618" t="s">
        <v>480</v>
      </c>
      <c r="G68" s="615">
        <f t="shared" si="36"/>
        <v>0</v>
      </c>
      <c r="H68" s="616"/>
      <c r="I68" s="616"/>
      <c r="J68" s="616"/>
      <c r="K68" s="616"/>
      <c r="L68" s="616"/>
      <c r="M68" s="616"/>
      <c r="N68" s="616"/>
    </row>
    <row r="69" spans="1:14" ht="13.5" hidden="1" customHeight="1">
      <c r="A69" s="538"/>
      <c r="B69" s="539"/>
      <c r="C69" s="611" t="s">
        <v>482</v>
      </c>
      <c r="D69" s="612" t="s">
        <v>479</v>
      </c>
      <c r="E69" s="613">
        <v>10</v>
      </c>
      <c r="F69" s="618" t="s">
        <v>483</v>
      </c>
      <c r="G69" s="615">
        <f t="shared" si="36"/>
        <v>0</v>
      </c>
      <c r="H69" s="616"/>
      <c r="I69" s="616"/>
      <c r="J69" s="616"/>
      <c r="K69" s="616"/>
      <c r="L69" s="616"/>
      <c r="M69" s="616"/>
      <c r="N69" s="616"/>
    </row>
    <row r="70" spans="1:14" ht="13.5" hidden="1" customHeight="1">
      <c r="A70" s="538"/>
      <c r="B70" s="539"/>
      <c r="C70" s="611" t="s">
        <v>484</v>
      </c>
      <c r="D70" s="612" t="s">
        <v>477</v>
      </c>
      <c r="E70" s="613">
        <v>45</v>
      </c>
      <c r="F70" s="618" t="s">
        <v>483</v>
      </c>
      <c r="G70" s="615">
        <f t="shared" si="36"/>
        <v>0</v>
      </c>
      <c r="H70" s="616"/>
      <c r="I70" s="616"/>
      <c r="J70" s="616"/>
      <c r="K70" s="616"/>
      <c r="L70" s="616"/>
      <c r="M70" s="616"/>
      <c r="N70" s="616"/>
    </row>
    <row r="71" spans="1:14" ht="13.5" hidden="1" customHeight="1">
      <c r="A71" s="538"/>
      <c r="B71" s="539"/>
      <c r="C71" s="611" t="s">
        <v>485</v>
      </c>
      <c r="D71" s="612" t="s">
        <v>479</v>
      </c>
      <c r="E71" s="613">
        <v>10</v>
      </c>
      <c r="F71" s="618" t="s">
        <v>486</v>
      </c>
      <c r="G71" s="615">
        <f t="shared" si="36"/>
        <v>0</v>
      </c>
      <c r="H71" s="616"/>
      <c r="I71" s="616"/>
      <c r="J71" s="616"/>
      <c r="K71" s="616"/>
      <c r="L71" s="616"/>
      <c r="M71" s="616"/>
      <c r="N71" s="616"/>
    </row>
    <row r="72" spans="1:14" ht="13.5" hidden="1" customHeight="1">
      <c r="A72" s="538"/>
      <c r="B72" s="539"/>
      <c r="C72" s="611" t="s">
        <v>487</v>
      </c>
      <c r="D72" s="612" t="s">
        <v>477</v>
      </c>
      <c r="E72" s="613">
        <v>15</v>
      </c>
      <c r="F72" s="618" t="s">
        <v>486</v>
      </c>
      <c r="G72" s="615">
        <f t="shared" si="36"/>
        <v>0</v>
      </c>
      <c r="H72" s="616"/>
      <c r="I72" s="616"/>
      <c r="J72" s="616"/>
      <c r="K72" s="616"/>
      <c r="L72" s="616"/>
      <c r="M72" s="616"/>
      <c r="N72" s="616"/>
    </row>
    <row r="73" spans="1:14" ht="13.5" hidden="1" customHeight="1">
      <c r="A73" s="627"/>
      <c r="B73" s="628"/>
      <c r="C73" s="628"/>
      <c r="D73" s="628"/>
      <c r="E73" s="629"/>
      <c r="F73" s="630" t="s">
        <v>488</v>
      </c>
      <c r="G73" s="631">
        <f>SUM(H73:M73)</f>
        <v>0</v>
      </c>
      <c r="H73" s="632">
        <f t="shared" ref="H73:M73" si="37">IF(H$4="費用",0,SUM(H56,H62:H72))</f>
        <v>0</v>
      </c>
      <c r="I73" s="632">
        <f t="shared" si="37"/>
        <v>0</v>
      </c>
      <c r="J73" s="632">
        <f t="shared" si="37"/>
        <v>0</v>
      </c>
      <c r="K73" s="632">
        <f t="shared" si="37"/>
        <v>0</v>
      </c>
      <c r="L73" s="632">
        <f t="shared" si="37"/>
        <v>0</v>
      </c>
      <c r="M73" s="632">
        <f t="shared" si="37"/>
        <v>0</v>
      </c>
      <c r="N73" s="632">
        <f t="shared" ref="N73" si="38">IF(N$4="費用",0,SUM(N56,N62:N72))</f>
        <v>0</v>
      </c>
    </row>
    <row r="74" spans="1:14" ht="13.5" customHeight="1">
      <c r="A74" s="539"/>
      <c r="B74" s="605"/>
      <c r="C74" s="605"/>
      <c r="D74" s="605"/>
      <c r="E74" s="605"/>
      <c r="F74" s="655"/>
      <c r="G74" s="656"/>
      <c r="H74" s="657"/>
      <c r="I74" s="657"/>
      <c r="J74" s="657"/>
      <c r="K74" s="657"/>
      <c r="L74" s="657"/>
      <c r="M74" s="657"/>
      <c r="N74" s="657"/>
    </row>
    <row r="75" spans="1:14" ht="13.5" customHeight="1">
      <c r="A75" s="646"/>
      <c r="B75" s="589"/>
      <c r="C75" s="589"/>
      <c r="D75" s="589"/>
      <c r="E75" s="589"/>
      <c r="F75" s="658"/>
      <c r="G75" s="659"/>
      <c r="H75" s="660"/>
      <c r="I75" s="660"/>
      <c r="J75" s="660"/>
      <c r="K75" s="660"/>
      <c r="L75" s="660"/>
      <c r="M75" s="660"/>
      <c r="N75" s="660"/>
    </row>
    <row r="76" spans="1:14" s="585" customFormat="1" ht="13.5" customHeight="1">
      <c r="A76" s="661" t="s">
        <v>489</v>
      </c>
      <c r="B76" s="596"/>
      <c r="C76" s="597"/>
      <c r="D76" s="596"/>
      <c r="E76" s="2721" t="s">
        <v>396</v>
      </c>
      <c r="F76" s="598"/>
      <c r="G76" s="599" t="s">
        <v>397</v>
      </c>
      <c r="H76" s="600" t="s">
        <v>490</v>
      </c>
      <c r="I76" s="600" t="s">
        <v>490</v>
      </c>
      <c r="J76" s="600" t="s">
        <v>490</v>
      </c>
      <c r="K76" s="600" t="s">
        <v>490</v>
      </c>
      <c r="L76" s="600" t="s">
        <v>490</v>
      </c>
      <c r="M76" s="600" t="s">
        <v>490</v>
      </c>
      <c r="N76" s="600" t="s">
        <v>490</v>
      </c>
    </row>
    <row r="77" spans="1:14" s="585" customFormat="1" ht="13.5" customHeight="1">
      <c r="A77" s="601"/>
      <c r="B77" s="2723" t="s">
        <v>491</v>
      </c>
      <c r="C77" s="2724"/>
      <c r="D77" s="2725"/>
      <c r="E77" s="2722"/>
      <c r="F77" s="602"/>
      <c r="G77" s="603" t="s">
        <v>459</v>
      </c>
      <c r="H77" s="633" t="s">
        <v>492</v>
      </c>
      <c r="I77" s="633" t="s">
        <v>492</v>
      </c>
      <c r="J77" s="633" t="s">
        <v>492</v>
      </c>
      <c r="K77" s="633" t="s">
        <v>492</v>
      </c>
      <c r="L77" s="633" t="s">
        <v>492</v>
      </c>
      <c r="M77" s="633" t="s">
        <v>492</v>
      </c>
      <c r="N77" s="633" t="s">
        <v>492</v>
      </c>
    </row>
    <row r="78" spans="1:14" ht="13.5" customHeight="1">
      <c r="A78" s="538"/>
      <c r="B78" s="605"/>
      <c r="C78" s="662" t="s">
        <v>493</v>
      </c>
      <c r="D78" s="607"/>
      <c r="E78" s="608">
        <v>10</v>
      </c>
      <c r="F78" s="663" t="s">
        <v>494</v>
      </c>
      <c r="G78" s="615">
        <f t="shared" ref="G78:G92" ca="1" si="39">SUM(H78:N78)</f>
        <v>1349600</v>
      </c>
      <c r="H78" s="620">
        <f t="shared" ref="H78:M78" ca="1" si="40">SUM(H79:H83)</f>
        <v>674800</v>
      </c>
      <c r="I78" s="620">
        <f t="shared" ca="1" si="40"/>
        <v>0</v>
      </c>
      <c r="J78" s="620">
        <f t="shared" ca="1" si="40"/>
        <v>0</v>
      </c>
      <c r="K78" s="620">
        <f t="shared" ca="1" si="40"/>
        <v>674800</v>
      </c>
      <c r="L78" s="620">
        <f t="shared" ca="1" si="40"/>
        <v>0</v>
      </c>
      <c r="M78" s="620">
        <f t="shared" ca="1" si="40"/>
        <v>0</v>
      </c>
      <c r="N78" s="620">
        <f t="shared" ref="N78" ca="1" si="41">SUM(N79:N83)</f>
        <v>0</v>
      </c>
    </row>
    <row r="79" spans="1:14" ht="13.5" customHeight="1">
      <c r="A79" s="538"/>
      <c r="B79" s="539"/>
      <c r="C79" s="611" t="s">
        <v>495</v>
      </c>
      <c r="D79" s="612" t="s">
        <v>496</v>
      </c>
      <c r="E79" s="613"/>
      <c r="F79" s="664" t="s">
        <v>497</v>
      </c>
      <c r="G79" s="615">
        <f t="shared" ca="1" si="39"/>
        <v>0</v>
      </c>
      <c r="H79" s="620">
        <f t="shared" ref="H79:N79" ca="1" si="42">SUMIF(INDIRECT(H$3&amp;"!$ｎ:$ｎ"),"電照サイン（金属製）",INDIRECT(H$3&amp;"!$i:$i"))</f>
        <v>0</v>
      </c>
      <c r="I79" s="620">
        <f t="shared" ca="1" si="42"/>
        <v>0</v>
      </c>
      <c r="J79" s="620">
        <f t="shared" ca="1" si="42"/>
        <v>0</v>
      </c>
      <c r="K79" s="620">
        <f t="shared" ca="1" si="42"/>
        <v>0</v>
      </c>
      <c r="L79" s="620">
        <f t="shared" ca="1" si="42"/>
        <v>0</v>
      </c>
      <c r="M79" s="620">
        <f t="shared" ca="1" si="42"/>
        <v>0</v>
      </c>
      <c r="N79" s="620">
        <f t="shared" ca="1" si="42"/>
        <v>0</v>
      </c>
    </row>
    <row r="80" spans="1:14" ht="13.5" customHeight="1">
      <c r="A80" s="538"/>
      <c r="B80" s="539"/>
      <c r="C80" s="611" t="s">
        <v>465</v>
      </c>
      <c r="D80" s="612" t="s">
        <v>498</v>
      </c>
      <c r="E80" s="613"/>
      <c r="F80" s="664"/>
      <c r="G80" s="615">
        <f t="shared" ca="1" si="39"/>
        <v>1349600</v>
      </c>
      <c r="H80" s="620">
        <f t="shared" ref="H80:N80" ca="1" si="43">SUMIF(INDIRECT(H$3&amp;"!$ｎ:$ｎ"),"非電照サイン（金属製）",INDIRECT(H$3&amp;"!$i:$i"))</f>
        <v>674800</v>
      </c>
      <c r="I80" s="620">
        <f t="shared" ca="1" si="43"/>
        <v>0</v>
      </c>
      <c r="J80" s="620">
        <f t="shared" ca="1" si="43"/>
        <v>0</v>
      </c>
      <c r="K80" s="620">
        <f t="shared" ca="1" si="43"/>
        <v>674800</v>
      </c>
      <c r="L80" s="620">
        <f t="shared" ca="1" si="43"/>
        <v>0</v>
      </c>
      <c r="M80" s="620">
        <f t="shared" ca="1" si="43"/>
        <v>0</v>
      </c>
      <c r="N80" s="620">
        <f t="shared" ca="1" si="43"/>
        <v>0</v>
      </c>
    </row>
    <row r="81" spans="1:14" ht="13.5" customHeight="1">
      <c r="A81" s="538"/>
      <c r="B81" s="539"/>
      <c r="C81" s="611" t="s">
        <v>471</v>
      </c>
      <c r="D81" s="612" t="s">
        <v>499</v>
      </c>
      <c r="E81" s="613"/>
      <c r="F81" s="664"/>
      <c r="G81" s="615">
        <f t="shared" ca="1" si="39"/>
        <v>0</v>
      </c>
      <c r="H81" s="620">
        <f t="shared" ref="H81:N81" ca="1" si="44">SUMIF(INDIRECT(H$3&amp;"!$ｎ:$ｎ"),"電照広告（金属製）",INDIRECT(H$3&amp;"!$i:$i"))</f>
        <v>0</v>
      </c>
      <c r="I81" s="620">
        <f t="shared" ca="1" si="44"/>
        <v>0</v>
      </c>
      <c r="J81" s="620">
        <f t="shared" ca="1" si="44"/>
        <v>0</v>
      </c>
      <c r="K81" s="620">
        <f t="shared" ca="1" si="44"/>
        <v>0</v>
      </c>
      <c r="L81" s="620">
        <f t="shared" ca="1" si="44"/>
        <v>0</v>
      </c>
      <c r="M81" s="620">
        <f t="shared" ca="1" si="44"/>
        <v>0</v>
      </c>
      <c r="N81" s="620">
        <f t="shared" ca="1" si="44"/>
        <v>0</v>
      </c>
    </row>
    <row r="82" spans="1:14" s="532" customFormat="1" ht="13.5" customHeight="1">
      <c r="A82" s="538"/>
      <c r="B82" s="539"/>
      <c r="C82" s="611" t="s">
        <v>473</v>
      </c>
      <c r="D82" s="612" t="s">
        <v>500</v>
      </c>
      <c r="E82" s="665"/>
      <c r="F82" s="666"/>
      <c r="G82" s="615">
        <f t="shared" ca="1" si="39"/>
        <v>0</v>
      </c>
      <c r="H82" s="620">
        <f t="shared" ref="H82:N82" ca="1" si="45">SUMIF(INDIRECT(H$3&amp;"!$ｎ:$ｎ"),"非電照広告（金属製）",INDIRECT(H$3&amp;"!$i:$i"))</f>
        <v>0</v>
      </c>
      <c r="I82" s="620">
        <f t="shared" ca="1" si="45"/>
        <v>0</v>
      </c>
      <c r="J82" s="620">
        <f t="shared" ca="1" si="45"/>
        <v>0</v>
      </c>
      <c r="K82" s="620">
        <f t="shared" ca="1" si="45"/>
        <v>0</v>
      </c>
      <c r="L82" s="620">
        <f t="shared" ca="1" si="45"/>
        <v>0</v>
      </c>
      <c r="M82" s="620">
        <f t="shared" ca="1" si="45"/>
        <v>0</v>
      </c>
      <c r="N82" s="620">
        <f t="shared" ca="1" si="45"/>
        <v>0</v>
      </c>
    </row>
    <row r="83" spans="1:14" s="532" customFormat="1" ht="13.5" customHeight="1">
      <c r="A83" s="538"/>
      <c r="B83" s="539"/>
      <c r="C83" s="611" t="s">
        <v>476</v>
      </c>
      <c r="D83" s="667" t="s">
        <v>501</v>
      </c>
      <c r="E83" s="665"/>
      <c r="F83" s="666"/>
      <c r="G83" s="615">
        <f t="shared" ca="1" si="39"/>
        <v>0</v>
      </c>
      <c r="H83" s="620">
        <f t="shared" ref="H83:N83" ca="1" si="46">SUMIF(INDIRECT(H$3&amp;"!$ｎ:$ｎ"),"電気設備",INDIRECT(H$3&amp;"!$i:$i"))</f>
        <v>0</v>
      </c>
      <c r="I83" s="620">
        <f t="shared" ca="1" si="46"/>
        <v>0</v>
      </c>
      <c r="J83" s="620">
        <f t="shared" ca="1" si="46"/>
        <v>0</v>
      </c>
      <c r="K83" s="620">
        <f t="shared" ca="1" si="46"/>
        <v>0</v>
      </c>
      <c r="L83" s="620">
        <f t="shared" ca="1" si="46"/>
        <v>0</v>
      </c>
      <c r="M83" s="620">
        <f t="shared" ca="1" si="46"/>
        <v>0</v>
      </c>
      <c r="N83" s="620">
        <f t="shared" ca="1" si="46"/>
        <v>0</v>
      </c>
    </row>
    <row r="84" spans="1:14" ht="13.5" customHeight="1">
      <c r="A84" s="538"/>
      <c r="B84" s="539"/>
      <c r="C84" s="668" t="s">
        <v>502</v>
      </c>
      <c r="D84" s="612"/>
      <c r="E84" s="613">
        <v>5</v>
      </c>
      <c r="F84" s="664" t="s">
        <v>503</v>
      </c>
      <c r="G84" s="615">
        <f t="shared" ca="1" si="39"/>
        <v>708500</v>
      </c>
      <c r="H84" s="620">
        <f t="shared" ref="H84:M84" ca="1" si="47">SUM(H85:H86)</f>
        <v>708500</v>
      </c>
      <c r="I84" s="620">
        <f t="shared" ca="1" si="47"/>
        <v>0</v>
      </c>
      <c r="J84" s="620">
        <f t="shared" ca="1" si="47"/>
        <v>0</v>
      </c>
      <c r="K84" s="620">
        <f t="shared" ca="1" si="47"/>
        <v>0</v>
      </c>
      <c r="L84" s="620">
        <f t="shared" ca="1" si="47"/>
        <v>0</v>
      </c>
      <c r="M84" s="620">
        <f t="shared" ca="1" si="47"/>
        <v>0</v>
      </c>
      <c r="N84" s="620">
        <f t="shared" ref="N84" ca="1" si="48">SUM(N85:N86)</f>
        <v>0</v>
      </c>
    </row>
    <row r="85" spans="1:14" ht="13.5" customHeight="1">
      <c r="A85" s="538"/>
      <c r="B85" s="539"/>
      <c r="C85" s="611" t="s">
        <v>495</v>
      </c>
      <c r="D85" s="612" t="s">
        <v>498</v>
      </c>
      <c r="E85" s="613"/>
      <c r="F85" s="664" t="s">
        <v>504</v>
      </c>
      <c r="G85" s="615">
        <f t="shared" ca="1" si="39"/>
        <v>708500</v>
      </c>
      <c r="H85" s="620">
        <f t="shared" ref="H85:N85" ca="1" si="49">SUMIF(INDIRECT(H$3&amp;"!$ｎ:$ｎ"),"非電照サイン（その他）",INDIRECT(H$3&amp;"!$i:$i"))</f>
        <v>708500</v>
      </c>
      <c r="I85" s="620">
        <f t="shared" ca="1" si="49"/>
        <v>0</v>
      </c>
      <c r="J85" s="620">
        <f t="shared" ca="1" si="49"/>
        <v>0</v>
      </c>
      <c r="K85" s="620">
        <f t="shared" ca="1" si="49"/>
        <v>0</v>
      </c>
      <c r="L85" s="620">
        <f t="shared" ca="1" si="49"/>
        <v>0</v>
      </c>
      <c r="M85" s="620">
        <f t="shared" ca="1" si="49"/>
        <v>0</v>
      </c>
      <c r="N85" s="620">
        <f t="shared" ca="1" si="49"/>
        <v>0</v>
      </c>
    </row>
    <row r="86" spans="1:14" ht="13.5" customHeight="1">
      <c r="A86" s="538"/>
      <c r="B86" s="539"/>
      <c r="C86" s="611" t="s">
        <v>465</v>
      </c>
      <c r="D86" s="612" t="s">
        <v>505</v>
      </c>
      <c r="E86" s="613"/>
      <c r="F86" s="664"/>
      <c r="G86" s="615">
        <f t="shared" ca="1" si="39"/>
        <v>0</v>
      </c>
      <c r="H86" s="620">
        <f t="shared" ref="H86:N86" ca="1" si="50">SUMIF(INDIRECT(H$3&amp;"!$ｎ:$ｎ"),"非電照広告（その他）",INDIRECT(H$3&amp;"!$i:$i"))</f>
        <v>0</v>
      </c>
      <c r="I86" s="620">
        <f t="shared" ca="1" si="50"/>
        <v>0</v>
      </c>
      <c r="J86" s="620">
        <f t="shared" ca="1" si="50"/>
        <v>0</v>
      </c>
      <c r="K86" s="620">
        <f t="shared" ca="1" si="50"/>
        <v>0</v>
      </c>
      <c r="L86" s="620">
        <f t="shared" ca="1" si="50"/>
        <v>0</v>
      </c>
      <c r="M86" s="620">
        <f t="shared" ca="1" si="50"/>
        <v>0</v>
      </c>
      <c r="N86" s="620">
        <f t="shared" ca="1" si="50"/>
        <v>0</v>
      </c>
    </row>
    <row r="87" spans="1:14" ht="13.5" hidden="1" customHeight="1">
      <c r="A87" s="538"/>
      <c r="B87" s="539"/>
      <c r="C87" s="669" t="s">
        <v>506</v>
      </c>
      <c r="D87" s="612" t="s">
        <v>507</v>
      </c>
      <c r="E87" s="613">
        <v>5</v>
      </c>
      <c r="F87" s="664"/>
      <c r="G87" s="615">
        <f t="shared" ca="1" si="39"/>
        <v>0</v>
      </c>
      <c r="H87" s="620">
        <f t="shared" ref="H87:N87" ca="1" si="51">SUMIF(INDIRECT(H$3&amp;"!$ｎ:$ｎ"),"無人駐車管理装置",INDIRECT(H$3&amp;"!$i:$i"))</f>
        <v>0</v>
      </c>
      <c r="I87" s="620">
        <f t="shared" ca="1" si="51"/>
        <v>0</v>
      </c>
      <c r="J87" s="620">
        <f t="shared" ca="1" si="51"/>
        <v>0</v>
      </c>
      <c r="K87" s="620">
        <f t="shared" ca="1" si="51"/>
        <v>0</v>
      </c>
      <c r="L87" s="620">
        <f t="shared" ca="1" si="51"/>
        <v>0</v>
      </c>
      <c r="M87" s="620">
        <f t="shared" ca="1" si="51"/>
        <v>0</v>
      </c>
      <c r="N87" s="620">
        <f t="shared" ca="1" si="51"/>
        <v>0</v>
      </c>
    </row>
    <row r="88" spans="1:14" ht="13.5" hidden="1" customHeight="1">
      <c r="A88" s="538"/>
      <c r="B88" s="539"/>
      <c r="C88" s="669" t="s">
        <v>508</v>
      </c>
      <c r="D88" s="612" t="s">
        <v>509</v>
      </c>
      <c r="E88" s="613">
        <v>10</v>
      </c>
      <c r="F88" s="664"/>
      <c r="G88" s="615">
        <f t="shared" ca="1" si="39"/>
        <v>0</v>
      </c>
      <c r="H88" s="620">
        <f t="shared" ref="H88:N88" ca="1" si="52">SUMIF(INDIRECT(H$3&amp;"!$ｎ:$ｎ"),"その他（金造製）",INDIRECT(H$3&amp;"!$i:$i"))</f>
        <v>0</v>
      </c>
      <c r="I88" s="620">
        <f t="shared" ca="1" si="52"/>
        <v>0</v>
      </c>
      <c r="J88" s="620">
        <f t="shared" ca="1" si="52"/>
        <v>0</v>
      </c>
      <c r="K88" s="620">
        <f t="shared" ca="1" si="52"/>
        <v>0</v>
      </c>
      <c r="L88" s="620">
        <f t="shared" ca="1" si="52"/>
        <v>0</v>
      </c>
      <c r="M88" s="620">
        <f t="shared" ca="1" si="52"/>
        <v>0</v>
      </c>
      <c r="N88" s="620">
        <f t="shared" ca="1" si="52"/>
        <v>0</v>
      </c>
    </row>
    <row r="89" spans="1:14" ht="13.5" hidden="1" customHeight="1">
      <c r="A89" s="538"/>
      <c r="B89" s="539"/>
      <c r="C89" s="669" t="s">
        <v>510</v>
      </c>
      <c r="D89" s="612" t="s">
        <v>511</v>
      </c>
      <c r="E89" s="613">
        <v>5</v>
      </c>
      <c r="F89" s="664"/>
      <c r="G89" s="615">
        <f t="shared" ca="1" si="39"/>
        <v>0</v>
      </c>
      <c r="H89" s="620">
        <f t="shared" ref="H89:N89" ca="1" si="53">SUMIF(INDIRECT(H$3&amp;"!$ｎ:$ｎ"),"その他（その他）",INDIRECT(H$3&amp;"!$i:$i"))</f>
        <v>0</v>
      </c>
      <c r="I89" s="620">
        <f t="shared" ca="1" si="53"/>
        <v>0</v>
      </c>
      <c r="J89" s="620">
        <f t="shared" ca="1" si="53"/>
        <v>0</v>
      </c>
      <c r="K89" s="620">
        <f t="shared" ca="1" si="53"/>
        <v>0</v>
      </c>
      <c r="L89" s="620">
        <f t="shared" ca="1" si="53"/>
        <v>0</v>
      </c>
      <c r="M89" s="620">
        <f t="shared" ca="1" si="53"/>
        <v>0</v>
      </c>
      <c r="N89" s="620">
        <f t="shared" ca="1" si="53"/>
        <v>0</v>
      </c>
    </row>
    <row r="90" spans="1:14" ht="13.5" customHeight="1">
      <c r="A90" s="538"/>
      <c r="B90" s="539"/>
      <c r="C90" s="670"/>
      <c r="D90" s="623"/>
      <c r="E90" s="671"/>
      <c r="F90" s="672"/>
      <c r="G90" s="673">
        <f t="shared" si="39"/>
        <v>0</v>
      </c>
      <c r="H90" s="616"/>
      <c r="I90" s="616"/>
      <c r="J90" s="616"/>
      <c r="K90" s="616"/>
      <c r="L90" s="616"/>
      <c r="M90" s="616"/>
      <c r="N90" s="616"/>
    </row>
    <row r="91" spans="1:14" ht="13.5" customHeight="1" thickBot="1">
      <c r="A91" s="674"/>
      <c r="B91" s="675"/>
      <c r="C91" s="675"/>
      <c r="D91" s="675"/>
      <c r="E91" s="675"/>
      <c r="F91" s="676" t="s">
        <v>512</v>
      </c>
      <c r="G91" s="677">
        <f t="shared" ca="1" si="39"/>
        <v>2058100</v>
      </c>
      <c r="H91" s="678">
        <f t="shared" ref="H91:M91" ca="1" si="54">IF(H4="費用",0,SUM(H78,H84,H87:H90))</f>
        <v>1383300</v>
      </c>
      <c r="I91" s="678">
        <f t="shared" ca="1" si="54"/>
        <v>0</v>
      </c>
      <c r="J91" s="678">
        <f t="shared" ca="1" si="54"/>
        <v>0</v>
      </c>
      <c r="K91" s="678">
        <f t="shared" ca="1" si="54"/>
        <v>674800</v>
      </c>
      <c r="L91" s="678">
        <f t="shared" ca="1" si="54"/>
        <v>0</v>
      </c>
      <c r="M91" s="678">
        <f t="shared" ca="1" si="54"/>
        <v>0</v>
      </c>
      <c r="N91" s="678">
        <f t="shared" ref="N91" ca="1" si="55">IF(N4="費用",0,SUM(N78,N84,N87:N90))</f>
        <v>0</v>
      </c>
    </row>
    <row r="92" spans="1:14" ht="13.5" customHeight="1" thickTop="1">
      <c r="A92" s="679"/>
      <c r="B92" s="680"/>
      <c r="C92" s="680"/>
      <c r="D92" s="680"/>
      <c r="E92" s="680"/>
      <c r="F92" s="681" t="s">
        <v>513</v>
      </c>
      <c r="G92" s="682">
        <f t="shared" ca="1" si="39"/>
        <v>17013539</v>
      </c>
      <c r="H92" s="683">
        <f t="shared" ref="H92:M92" ca="1" si="56">+H91+H53+H73</f>
        <v>1320624</v>
      </c>
      <c r="I92" s="683">
        <f t="shared" ca="1" si="56"/>
        <v>5744720</v>
      </c>
      <c r="J92" s="683">
        <f t="shared" ca="1" si="56"/>
        <v>93600</v>
      </c>
      <c r="K92" s="683">
        <f t="shared" ca="1" si="56"/>
        <v>1558733</v>
      </c>
      <c r="L92" s="683">
        <f t="shared" ca="1" si="56"/>
        <v>6084948</v>
      </c>
      <c r="M92" s="683">
        <f t="shared" ca="1" si="56"/>
        <v>1085299</v>
      </c>
      <c r="N92" s="683">
        <f t="shared" ref="N92" ca="1" si="57">+N91+N53+N73</f>
        <v>1125615</v>
      </c>
    </row>
    <row r="93" spans="1:14" ht="13.5" customHeight="1">
      <c r="A93" s="539"/>
      <c r="B93" s="605"/>
      <c r="C93" s="605"/>
      <c r="D93" s="605"/>
      <c r="E93" s="605"/>
      <c r="F93" s="655"/>
      <c r="G93" s="684"/>
      <c r="H93" s="657"/>
      <c r="I93" s="657"/>
      <c r="J93" s="657"/>
      <c r="K93" s="657"/>
      <c r="L93" s="657"/>
      <c r="M93" s="657"/>
      <c r="N93" s="657"/>
    </row>
    <row r="94" spans="1:14" ht="13.5" customHeight="1">
      <c r="A94" s="528"/>
      <c r="B94" s="530" t="s">
        <v>380</v>
      </c>
      <c r="C94" s="529"/>
      <c r="D94" s="529"/>
      <c r="E94" s="529"/>
      <c r="F94" s="2717" t="s">
        <v>2483</v>
      </c>
      <c r="G94" s="2717"/>
      <c r="H94" s="2717"/>
      <c r="I94" s="2717"/>
      <c r="J94" s="2717"/>
      <c r="K94" s="2718"/>
      <c r="L94" s="2606"/>
      <c r="M94" s="2606"/>
      <c r="N94" s="2654"/>
    </row>
    <row r="95" spans="1:14" ht="13.5" customHeight="1">
      <c r="A95" s="685"/>
      <c r="C95" s="686"/>
      <c r="D95" s="531"/>
      <c r="E95" s="529" t="s">
        <v>514</v>
      </c>
      <c r="F95" s="529"/>
      <c r="G95" s="529" t="s">
        <v>515</v>
      </c>
      <c r="H95" s="687" t="str">
        <f t="shared" ref="H95:M95" si="58">H3</f>
        <v>工事1</v>
      </c>
      <c r="I95" s="687" t="str">
        <f t="shared" si="58"/>
        <v>工事2</v>
      </c>
      <c r="J95" s="687" t="str">
        <f t="shared" si="58"/>
        <v>工事3</v>
      </c>
      <c r="K95" s="687" t="str">
        <f t="shared" si="58"/>
        <v>工事4</v>
      </c>
      <c r="L95" s="687" t="str">
        <f t="shared" si="58"/>
        <v>工事5</v>
      </c>
      <c r="M95" s="687" t="str">
        <f t="shared" si="58"/>
        <v>工事6</v>
      </c>
      <c r="N95" s="687" t="str">
        <f t="shared" ref="N95" si="59">N3</f>
        <v>工事7</v>
      </c>
    </row>
    <row r="96" spans="1:14" s="532" customFormat="1" ht="13.5" customHeight="1">
      <c r="A96" s="688"/>
      <c r="B96" s="689"/>
      <c r="C96" s="690">
        <v>10500701</v>
      </c>
      <c r="D96" s="691" t="s">
        <v>516</v>
      </c>
      <c r="E96" s="692"/>
      <c r="F96" s="693"/>
      <c r="G96" s="694">
        <f ca="1">SUM(H96:N96)</f>
        <v>16366000</v>
      </c>
      <c r="H96" s="570">
        <f ca="1">IF(H$26="007停車場建物",ROUND((H27+H27/(H$5-H$6)*H$6+H27/(H$5-H$6)*H$15)*$D$4,-3),"")</f>
        <v>-61000</v>
      </c>
      <c r="I96" s="570">
        <f>+I23</f>
        <v>6035000</v>
      </c>
      <c r="J96" s="570">
        <f ca="1">IF(J$26="007停車場建物",ROUND((J27+J27/(J$5-J$6)*J$6+J27/(J$5-J$6)*J$15)*$D$4,-3),"")</f>
        <v>63000</v>
      </c>
      <c r="K96" s="570">
        <f t="shared" ref="K96:M96" ca="1" si="60">IF(K$26="007停車場建物",ROUND((K27+K27/(K$5-K$6)*K$6+K27/(K$5-K$6)*K$15)*$D$4,-3),"")</f>
        <v>930000</v>
      </c>
      <c r="L96" s="570">
        <f ca="1">IF(L$26="007停車場建物",ROUND((L27+L27/(L$5-L$6)*L$6+L27/(L$5-L$6)*L$15)*$D$4,-3),"")+L330</f>
        <v>6486000</v>
      </c>
      <c r="M96" s="570">
        <f t="shared" ca="1" si="60"/>
        <v>1432000</v>
      </c>
      <c r="N96" s="570">
        <f ca="1">IF(N$26="007停車場建物",ROUND((N27+N27/(N$5-N$6)*N$6+N27/(N$5-N$6)*N$15)*$D$4,-3),"")+N330</f>
        <v>1481000</v>
      </c>
    </row>
    <row r="97" spans="1:14" s="532" customFormat="1" ht="13.5" hidden="1" customHeight="1">
      <c r="A97" s="695"/>
      <c r="B97" s="696"/>
      <c r="C97" s="697">
        <v>10500702</v>
      </c>
      <c r="D97" s="698" t="s">
        <v>517</v>
      </c>
      <c r="E97" s="699"/>
      <c r="F97" s="700"/>
      <c r="G97" s="619">
        <f t="shared" ref="G97:G146" ca="1" si="61">SUM(H97:M97)</f>
        <v>0</v>
      </c>
      <c r="H97" s="620">
        <f t="shared" ref="H97:J97" ca="1" si="62">IF(H$26="007停車場建物",ROUND((H28+H28/(H$5-H$6)*H$6+H28/(H$5-H$6)*H$15)*$D$4,-3),"")</f>
        <v>0</v>
      </c>
      <c r="I97" s="620"/>
      <c r="J97" s="620">
        <f t="shared" ca="1" si="62"/>
        <v>0</v>
      </c>
      <c r="K97" s="620">
        <f t="shared" ref="K97:L120" ca="1" si="63">IF(K$26="007停車場建物",ROUND((K28+K28/(K$5-K$6)*K$6+K28/(K$5-K$6)*K$15)*$D$4,-3),"")</f>
        <v>0</v>
      </c>
      <c r="L97" s="620">
        <f t="shared" ca="1" si="63"/>
        <v>0</v>
      </c>
      <c r="M97" s="620">
        <f t="shared" ref="M97:N97" ca="1" si="64">IF(M$26="007停車場建物",ROUND((M28+M28/(M$5-M$6)*M$6+M28/(M$5-M$6)*M$15)*$D$4,-3),"")</f>
        <v>0</v>
      </c>
      <c r="N97" s="620">
        <f t="shared" ca="1" si="64"/>
        <v>0</v>
      </c>
    </row>
    <row r="98" spans="1:14" ht="13.5" hidden="1" customHeight="1">
      <c r="A98" s="701"/>
      <c r="B98" s="702"/>
      <c r="C98" s="703">
        <v>10500703</v>
      </c>
      <c r="D98" s="704" t="s">
        <v>518</v>
      </c>
      <c r="E98" s="705"/>
      <c r="F98" s="706"/>
      <c r="G98" s="619">
        <f ca="1">SUM(H98:M98)</f>
        <v>0</v>
      </c>
      <c r="H98" s="620">
        <f t="shared" ref="H98:J98" ca="1" si="65">IF(H$26="007停車場建物",ROUND((H29+H29/(H$5-H$6)*H$6+H29/(H$5-H$6)*H$15)*$D$4,-3),"")</f>
        <v>0</v>
      </c>
      <c r="I98" s="620"/>
      <c r="J98" s="620">
        <f t="shared" ca="1" si="65"/>
        <v>0</v>
      </c>
      <c r="K98" s="620">
        <f t="shared" ca="1" si="63"/>
        <v>0</v>
      </c>
      <c r="L98" s="620">
        <f t="shared" ca="1" si="63"/>
        <v>0</v>
      </c>
      <c r="M98" s="620">
        <f t="shared" ref="M98:N98" ca="1" si="66">IF(M$26="007停車場建物",ROUND((M29+M29/(M$5-M$6)*M$6+M29/(M$5-M$6)*M$15)*$D$4,-3),"")</f>
        <v>0</v>
      </c>
      <c r="N98" s="620">
        <f t="shared" ca="1" si="66"/>
        <v>0</v>
      </c>
    </row>
    <row r="99" spans="1:14" ht="13.5" hidden="1" customHeight="1">
      <c r="A99" s="701"/>
      <c r="B99" s="702"/>
      <c r="C99" s="703">
        <v>10500704</v>
      </c>
      <c r="D99" s="704" t="s">
        <v>519</v>
      </c>
      <c r="E99" s="705"/>
      <c r="F99" s="706"/>
      <c r="G99" s="619">
        <f ca="1">SUM(H99:M99)</f>
        <v>0</v>
      </c>
      <c r="H99" s="620">
        <f t="shared" ref="H99:J99" ca="1" si="67">IF(H$26="007停車場建物",ROUND((H30+H30/(H$5-H$6)*H$6+H30/(H$5-H$6)*H$15)*$D$4,-3),"")</f>
        <v>0</v>
      </c>
      <c r="I99" s="620"/>
      <c r="J99" s="620">
        <f t="shared" ca="1" si="67"/>
        <v>0</v>
      </c>
      <c r="K99" s="620">
        <f t="shared" ca="1" si="63"/>
        <v>0</v>
      </c>
      <c r="L99" s="620">
        <f t="shared" ca="1" si="63"/>
        <v>0</v>
      </c>
      <c r="M99" s="620">
        <f t="shared" ref="M99:N99" ca="1" si="68">IF(M$26="007停車場建物",ROUND((M30+M30/(M$5-M$6)*M$6+M30/(M$5-M$6)*M$15)*$D$4,-3),"")</f>
        <v>0</v>
      </c>
      <c r="N99" s="620">
        <f t="shared" ca="1" si="68"/>
        <v>0</v>
      </c>
    </row>
    <row r="100" spans="1:14" ht="13.5" hidden="1" customHeight="1">
      <c r="A100" s="701"/>
      <c r="B100" s="702"/>
      <c r="C100" s="703">
        <v>10500705</v>
      </c>
      <c r="D100" s="704" t="s">
        <v>520</v>
      </c>
      <c r="E100" s="705"/>
      <c r="F100" s="706"/>
      <c r="G100" s="619">
        <f t="shared" ca="1" si="61"/>
        <v>0</v>
      </c>
      <c r="H100" s="620">
        <f t="shared" ref="H100:J100" ca="1" si="69">IF(H$26="007停車場建物",ROUND((H31+H31/(H$5-H$6)*H$6+H31/(H$5-H$6)*H$15)*$D$4,-3),"")</f>
        <v>0</v>
      </c>
      <c r="I100" s="620"/>
      <c r="J100" s="620">
        <f t="shared" ca="1" si="69"/>
        <v>0</v>
      </c>
      <c r="K100" s="620">
        <f t="shared" ca="1" si="63"/>
        <v>0</v>
      </c>
      <c r="L100" s="620">
        <f t="shared" ca="1" si="63"/>
        <v>0</v>
      </c>
      <c r="M100" s="620">
        <f t="shared" ref="M100:N100" ca="1" si="70">IF(M$26="007停車場建物",ROUND((M31+M31/(M$5-M$6)*M$6+M31/(M$5-M$6)*M$15)*$D$4,-3),"")</f>
        <v>0</v>
      </c>
      <c r="N100" s="620">
        <f t="shared" ca="1" si="70"/>
        <v>0</v>
      </c>
    </row>
    <row r="101" spans="1:14" ht="13.5" hidden="1" customHeight="1">
      <c r="A101" s="701"/>
      <c r="B101" s="702"/>
      <c r="C101" s="703">
        <v>10500706</v>
      </c>
      <c r="D101" s="704" t="s">
        <v>521</v>
      </c>
      <c r="E101" s="705"/>
      <c r="F101" s="706"/>
      <c r="G101" s="619">
        <f t="shared" ca="1" si="61"/>
        <v>0</v>
      </c>
      <c r="H101" s="620">
        <f t="shared" ref="H101:J101" ca="1" si="71">IF(H$26="007停車場建物",ROUND((H32+H32/(H$5-H$6)*H$6+H32/(H$5-H$6)*H$15)*$D$4,-3),"")</f>
        <v>0</v>
      </c>
      <c r="I101" s="620"/>
      <c r="J101" s="620">
        <f t="shared" ca="1" si="71"/>
        <v>0</v>
      </c>
      <c r="K101" s="620">
        <f t="shared" ca="1" si="63"/>
        <v>0</v>
      </c>
      <c r="L101" s="620">
        <f t="shared" ca="1" si="63"/>
        <v>0</v>
      </c>
      <c r="M101" s="620">
        <f t="shared" ref="M101:N101" ca="1" si="72">IF(M$26="007停車場建物",ROUND((M32+M32/(M$5-M$6)*M$6+M32/(M$5-M$6)*M$15)*$D$4,-3),"")</f>
        <v>0</v>
      </c>
      <c r="N101" s="620">
        <f t="shared" ca="1" si="72"/>
        <v>0</v>
      </c>
    </row>
    <row r="102" spans="1:14" ht="13.5" hidden="1" customHeight="1">
      <c r="A102" s="701"/>
      <c r="B102" s="702"/>
      <c r="C102" s="703">
        <v>10500707</v>
      </c>
      <c r="D102" s="704" t="s">
        <v>522</v>
      </c>
      <c r="E102" s="705"/>
      <c r="F102" s="706"/>
      <c r="G102" s="619">
        <f t="shared" ca="1" si="61"/>
        <v>0</v>
      </c>
      <c r="H102" s="620">
        <f t="shared" ref="H102:J102" ca="1" si="73">IF(H$26="007停車場建物",ROUND((H33+H33/(H$5-H$6)*H$6+H33/(H$5-H$6)*H$15)*$D$4,-3),"")</f>
        <v>0</v>
      </c>
      <c r="I102" s="620"/>
      <c r="J102" s="620">
        <f t="shared" ca="1" si="73"/>
        <v>0</v>
      </c>
      <c r="K102" s="620">
        <f t="shared" ca="1" si="63"/>
        <v>0</v>
      </c>
      <c r="L102" s="620">
        <f t="shared" ca="1" si="63"/>
        <v>0</v>
      </c>
      <c r="M102" s="620">
        <f t="shared" ref="M102:N102" ca="1" si="74">IF(M$26="007停車場建物",ROUND((M33+M33/(M$5-M$6)*M$6+M33/(M$5-M$6)*M$15)*$D$4,-3),"")</f>
        <v>0</v>
      </c>
      <c r="N102" s="620">
        <f t="shared" ca="1" si="74"/>
        <v>0</v>
      </c>
    </row>
    <row r="103" spans="1:14" ht="13.5" hidden="1" customHeight="1">
      <c r="A103" s="701"/>
      <c r="B103" s="702"/>
      <c r="C103" s="703">
        <v>10500708</v>
      </c>
      <c r="D103" s="704" t="s">
        <v>523</v>
      </c>
      <c r="E103" s="705"/>
      <c r="F103" s="706"/>
      <c r="G103" s="619">
        <f t="shared" ca="1" si="61"/>
        <v>0</v>
      </c>
      <c r="H103" s="620">
        <f t="shared" ref="H103:J103" ca="1" si="75">IF(H$26="007停車場建物",ROUND((H34+H34/(H$5-H$6)*H$6+H34/(H$5-H$6)*H$15)*$D$4,-3),"")</f>
        <v>0</v>
      </c>
      <c r="I103" s="620"/>
      <c r="J103" s="620">
        <f t="shared" ca="1" si="75"/>
        <v>0</v>
      </c>
      <c r="K103" s="620">
        <f t="shared" ca="1" si="63"/>
        <v>0</v>
      </c>
      <c r="L103" s="620">
        <f t="shared" ca="1" si="63"/>
        <v>0</v>
      </c>
      <c r="M103" s="620">
        <f t="shared" ref="M103:N103" ca="1" si="76">IF(M$26="007停車場建物",ROUND((M34+M34/(M$5-M$6)*M$6+M34/(M$5-M$6)*M$15)*$D$4,-3),"")</f>
        <v>0</v>
      </c>
      <c r="N103" s="620">
        <f t="shared" ca="1" si="76"/>
        <v>0</v>
      </c>
    </row>
    <row r="104" spans="1:14" ht="13.5" hidden="1" customHeight="1">
      <c r="A104" s="701"/>
      <c r="B104" s="702"/>
      <c r="C104" s="703">
        <v>10500709</v>
      </c>
      <c r="D104" s="704" t="s">
        <v>524</v>
      </c>
      <c r="E104" s="705"/>
      <c r="F104" s="706"/>
      <c r="G104" s="619">
        <f t="shared" ca="1" si="61"/>
        <v>0</v>
      </c>
      <c r="H104" s="620">
        <f t="shared" ref="H104:J104" ca="1" si="77">IF(H$26="007停車場建物",ROUND((H35+H35/(H$5-H$6)*H$6+H35/(H$5-H$6)*H$15)*$D$4,-3),"")</f>
        <v>0</v>
      </c>
      <c r="I104" s="620"/>
      <c r="J104" s="620">
        <f t="shared" ca="1" si="77"/>
        <v>0</v>
      </c>
      <c r="K104" s="620">
        <f t="shared" ca="1" si="63"/>
        <v>0</v>
      </c>
      <c r="L104" s="620">
        <f t="shared" ca="1" si="63"/>
        <v>0</v>
      </c>
      <c r="M104" s="620">
        <f t="shared" ref="M104:N104" ca="1" si="78">IF(M$26="007停車場建物",ROUND((M35+M35/(M$5-M$6)*M$6+M35/(M$5-M$6)*M$15)*$D$4,-3),"")</f>
        <v>0</v>
      </c>
      <c r="N104" s="620">
        <f t="shared" ca="1" si="78"/>
        <v>0</v>
      </c>
    </row>
    <row r="105" spans="1:14" ht="13.5" hidden="1" customHeight="1">
      <c r="A105" s="701"/>
      <c r="B105" s="702"/>
      <c r="C105" s="703">
        <v>10500710</v>
      </c>
      <c r="D105" s="704" t="s">
        <v>525</v>
      </c>
      <c r="E105" s="705"/>
      <c r="F105" s="706"/>
      <c r="G105" s="619">
        <f t="shared" ca="1" si="61"/>
        <v>0</v>
      </c>
      <c r="H105" s="620">
        <f t="shared" ref="H105:J105" ca="1" si="79">IF(H$26="007停車場建物",ROUND((H36+H36/(H$5-H$6)*H$6+H36/(H$5-H$6)*H$15)*$D$4,-3),"")</f>
        <v>0</v>
      </c>
      <c r="I105" s="620"/>
      <c r="J105" s="620">
        <f t="shared" ca="1" si="79"/>
        <v>0</v>
      </c>
      <c r="K105" s="620">
        <f t="shared" ca="1" si="63"/>
        <v>0</v>
      </c>
      <c r="L105" s="620">
        <f t="shared" ca="1" si="63"/>
        <v>0</v>
      </c>
      <c r="M105" s="620">
        <f t="shared" ref="M105:N105" ca="1" si="80">IF(M$26="007停車場建物",ROUND((M36+M36/(M$5-M$6)*M$6+M36/(M$5-M$6)*M$15)*$D$4,-3),"")</f>
        <v>0</v>
      </c>
      <c r="N105" s="620">
        <f t="shared" ca="1" si="80"/>
        <v>0</v>
      </c>
    </row>
    <row r="106" spans="1:14" ht="13.5" hidden="1" customHeight="1">
      <c r="A106" s="701"/>
      <c r="B106" s="702"/>
      <c r="C106" s="703">
        <v>10500711</v>
      </c>
      <c r="D106" s="704" t="s">
        <v>526</v>
      </c>
      <c r="E106" s="705"/>
      <c r="F106" s="706"/>
      <c r="G106" s="619">
        <f t="shared" ca="1" si="61"/>
        <v>0</v>
      </c>
      <c r="H106" s="620">
        <f t="shared" ref="H106:J106" ca="1" si="81">IF(H$26="007停車場建物",ROUND((H37+H37/(H$5-H$6)*H$6+H37/(H$5-H$6)*H$15)*$D$4,-3),"")</f>
        <v>0</v>
      </c>
      <c r="I106" s="620"/>
      <c r="J106" s="620">
        <f t="shared" ca="1" si="81"/>
        <v>0</v>
      </c>
      <c r="K106" s="620">
        <f t="shared" ca="1" si="63"/>
        <v>0</v>
      </c>
      <c r="L106" s="620">
        <f t="shared" ca="1" si="63"/>
        <v>0</v>
      </c>
      <c r="M106" s="620">
        <f t="shared" ref="M106:N106" ca="1" si="82">IF(M$26="007停車場建物",ROUND((M37+M37/(M$5-M$6)*M$6+M37/(M$5-M$6)*M$15)*$D$4,-3),"")</f>
        <v>0</v>
      </c>
      <c r="N106" s="620">
        <f t="shared" ca="1" si="82"/>
        <v>0</v>
      </c>
    </row>
    <row r="107" spans="1:14" ht="13.5" hidden="1" customHeight="1">
      <c r="A107" s="701"/>
      <c r="B107" s="702"/>
      <c r="C107" s="703">
        <v>10500712</v>
      </c>
      <c r="D107" s="704" t="s">
        <v>527</v>
      </c>
      <c r="E107" s="705"/>
      <c r="F107" s="706"/>
      <c r="G107" s="619">
        <f t="shared" ca="1" si="61"/>
        <v>0</v>
      </c>
      <c r="H107" s="620">
        <f t="shared" ref="H107:J107" ca="1" si="83">IF(H$26="007停車場建物",ROUND((H38+H38/(H$5-H$6)*H$6+H38/(H$5-H$6)*H$15)*$D$4,-3),"")</f>
        <v>0</v>
      </c>
      <c r="I107" s="620"/>
      <c r="J107" s="620">
        <f t="shared" ca="1" si="83"/>
        <v>0</v>
      </c>
      <c r="K107" s="620">
        <f t="shared" ca="1" si="63"/>
        <v>0</v>
      </c>
      <c r="L107" s="620">
        <f t="shared" ca="1" si="63"/>
        <v>0</v>
      </c>
      <c r="M107" s="620">
        <f t="shared" ref="M107:N107" ca="1" si="84">IF(M$26="007停車場建物",ROUND((M38+M38/(M$5-M$6)*M$6+M38/(M$5-M$6)*M$15)*$D$4,-3),"")</f>
        <v>0</v>
      </c>
      <c r="N107" s="620">
        <f t="shared" ca="1" si="84"/>
        <v>0</v>
      </c>
    </row>
    <row r="108" spans="1:14" ht="13.5" hidden="1" customHeight="1">
      <c r="A108" s="701"/>
      <c r="B108" s="702"/>
      <c r="C108" s="703">
        <v>10500713</v>
      </c>
      <c r="D108" s="704" t="s">
        <v>528</v>
      </c>
      <c r="E108" s="705"/>
      <c r="F108" s="706"/>
      <c r="G108" s="619">
        <f t="shared" ca="1" si="61"/>
        <v>0</v>
      </c>
      <c r="H108" s="620">
        <f t="shared" ref="H108:J108" ca="1" si="85">IF(H$26="007停車場建物",ROUND((H39+H39/(H$5-H$6)*H$6+H39/(H$5-H$6)*H$15)*$D$4,-3),"")</f>
        <v>0</v>
      </c>
      <c r="I108" s="620"/>
      <c r="J108" s="620">
        <f t="shared" ca="1" si="85"/>
        <v>0</v>
      </c>
      <c r="K108" s="620">
        <f t="shared" ca="1" si="63"/>
        <v>0</v>
      </c>
      <c r="L108" s="620">
        <f t="shared" ca="1" si="63"/>
        <v>0</v>
      </c>
      <c r="M108" s="620">
        <f t="shared" ref="M108:N108" ca="1" si="86">IF(M$26="007停車場建物",ROUND((M39+M39/(M$5-M$6)*M$6+M39/(M$5-M$6)*M$15)*$D$4,-3),"")</f>
        <v>0</v>
      </c>
      <c r="N108" s="620">
        <f t="shared" ca="1" si="86"/>
        <v>0</v>
      </c>
    </row>
    <row r="109" spans="1:14" ht="13.5" hidden="1" customHeight="1">
      <c r="A109" s="701"/>
      <c r="B109" s="702"/>
      <c r="C109" s="703">
        <v>10500714</v>
      </c>
      <c r="D109" s="704" t="s">
        <v>529</v>
      </c>
      <c r="E109" s="705"/>
      <c r="F109" s="706"/>
      <c r="G109" s="619">
        <f t="shared" ca="1" si="61"/>
        <v>0</v>
      </c>
      <c r="H109" s="620">
        <f t="shared" ref="H109:J109" ca="1" si="87">IF(H$26="007停車場建物",ROUND((H40+H40/(H$5-H$6)*H$6+H40/(H$5-H$6)*H$15)*$D$4,-3),"")</f>
        <v>0</v>
      </c>
      <c r="I109" s="620"/>
      <c r="J109" s="620">
        <f t="shared" ca="1" si="87"/>
        <v>0</v>
      </c>
      <c r="K109" s="620">
        <f t="shared" ca="1" si="63"/>
        <v>0</v>
      </c>
      <c r="L109" s="620">
        <f t="shared" ca="1" si="63"/>
        <v>0</v>
      </c>
      <c r="M109" s="620">
        <f t="shared" ref="M109:N109" ca="1" si="88">IF(M$26="007停車場建物",ROUND((M40+M40/(M$5-M$6)*M$6+M40/(M$5-M$6)*M$15)*$D$4,-3),"")</f>
        <v>0</v>
      </c>
      <c r="N109" s="620">
        <f t="shared" ca="1" si="88"/>
        <v>0</v>
      </c>
    </row>
    <row r="110" spans="1:14" ht="13.5" hidden="1" customHeight="1">
      <c r="A110" s="701"/>
      <c r="B110" s="702"/>
      <c r="C110" s="703">
        <v>10500715</v>
      </c>
      <c r="D110" s="704" t="s">
        <v>530</v>
      </c>
      <c r="E110" s="705"/>
      <c r="F110" s="706"/>
      <c r="G110" s="619">
        <f t="shared" ca="1" si="61"/>
        <v>0</v>
      </c>
      <c r="H110" s="620">
        <f t="shared" ref="H110:J110" ca="1" si="89">IF(H$26="007停車場建物",ROUND((H41+H41/(H$5-H$6)*H$6+H41/(H$5-H$6)*H$15)*$D$4,-3),"")</f>
        <v>0</v>
      </c>
      <c r="I110" s="620"/>
      <c r="J110" s="620">
        <f t="shared" ca="1" si="89"/>
        <v>0</v>
      </c>
      <c r="K110" s="620">
        <f t="shared" ca="1" si="63"/>
        <v>0</v>
      </c>
      <c r="L110" s="620">
        <f t="shared" ca="1" si="63"/>
        <v>0</v>
      </c>
      <c r="M110" s="620">
        <f t="shared" ref="M110:N110" ca="1" si="90">IF(M$26="007停車場建物",ROUND((M41+M41/(M$5-M$6)*M$6+M41/(M$5-M$6)*M$15)*$D$4,-3),"")</f>
        <v>0</v>
      </c>
      <c r="N110" s="620">
        <f t="shared" ca="1" si="90"/>
        <v>0</v>
      </c>
    </row>
    <row r="111" spans="1:14" ht="13.5" hidden="1" customHeight="1">
      <c r="A111" s="701"/>
      <c r="B111" s="702"/>
      <c r="C111" s="703">
        <v>10500716</v>
      </c>
      <c r="D111" s="704" t="s">
        <v>531</v>
      </c>
      <c r="E111" s="705"/>
      <c r="F111" s="706"/>
      <c r="G111" s="619">
        <f t="shared" ca="1" si="61"/>
        <v>0</v>
      </c>
      <c r="H111" s="620">
        <f t="shared" ref="H111:J111" ca="1" si="91">IF(H$26="007停車場建物",ROUND((H42+H42/(H$5-H$6)*H$6+H42/(H$5-H$6)*H$15)*$D$4,-3),"")</f>
        <v>0</v>
      </c>
      <c r="I111" s="620"/>
      <c r="J111" s="620">
        <f t="shared" ca="1" si="91"/>
        <v>0</v>
      </c>
      <c r="K111" s="620">
        <f t="shared" ca="1" si="63"/>
        <v>0</v>
      </c>
      <c r="L111" s="620">
        <f t="shared" ca="1" si="63"/>
        <v>0</v>
      </c>
      <c r="M111" s="620">
        <f t="shared" ref="M111:N111" ca="1" si="92">IF(M$26="007停車場建物",ROUND((M42+M42/(M$5-M$6)*M$6+M42/(M$5-M$6)*M$15)*$D$4,-3),"")</f>
        <v>0</v>
      </c>
      <c r="N111" s="620">
        <f t="shared" ca="1" si="92"/>
        <v>0</v>
      </c>
    </row>
    <row r="112" spans="1:14" ht="13.5" hidden="1" customHeight="1">
      <c r="A112" s="701"/>
      <c r="B112" s="702"/>
      <c r="C112" s="703">
        <v>10500717</v>
      </c>
      <c r="D112" s="704" t="s">
        <v>532</v>
      </c>
      <c r="E112" s="705"/>
      <c r="F112" s="706"/>
      <c r="G112" s="619">
        <f t="shared" ca="1" si="61"/>
        <v>0</v>
      </c>
      <c r="H112" s="620">
        <f t="shared" ref="H112:J112" ca="1" si="93">IF(H$26="007停車場建物",ROUND((H43+H43/(H$5-H$6)*H$6+H43/(H$5-H$6)*H$15)*$D$4,-3),"")</f>
        <v>0</v>
      </c>
      <c r="I112" s="620"/>
      <c r="J112" s="620">
        <f t="shared" ca="1" si="93"/>
        <v>0</v>
      </c>
      <c r="K112" s="620">
        <f t="shared" ca="1" si="63"/>
        <v>0</v>
      </c>
      <c r="L112" s="620">
        <f t="shared" ca="1" si="63"/>
        <v>0</v>
      </c>
      <c r="M112" s="620">
        <f t="shared" ref="M112:N112" ca="1" si="94">IF(M$26="007停車場建物",ROUND((M43+M43/(M$5-M$6)*M$6+M43/(M$5-M$6)*M$15)*$D$4,-3),"")</f>
        <v>0</v>
      </c>
      <c r="N112" s="620">
        <f t="shared" ca="1" si="94"/>
        <v>0</v>
      </c>
    </row>
    <row r="113" spans="1:14" ht="13.5" hidden="1" customHeight="1">
      <c r="A113" s="701"/>
      <c r="B113" s="702"/>
      <c r="C113" s="703">
        <v>10500718</v>
      </c>
      <c r="D113" s="704" t="s">
        <v>533</v>
      </c>
      <c r="E113" s="705"/>
      <c r="F113" s="706"/>
      <c r="G113" s="619">
        <f t="shared" ca="1" si="61"/>
        <v>0</v>
      </c>
      <c r="H113" s="620">
        <f t="shared" ref="H113:J113" ca="1" si="95">IF(H$26="007停車場建物",ROUND((H44+H44/(H$5-H$6)*H$6+H44/(H$5-H$6)*H$15)*$D$4,-3),"")</f>
        <v>0</v>
      </c>
      <c r="I113" s="620"/>
      <c r="J113" s="620">
        <f t="shared" ca="1" si="95"/>
        <v>0</v>
      </c>
      <c r="K113" s="620">
        <f t="shared" ca="1" si="63"/>
        <v>0</v>
      </c>
      <c r="L113" s="620">
        <f t="shared" ca="1" si="63"/>
        <v>0</v>
      </c>
      <c r="M113" s="620">
        <f t="shared" ref="M113:N113" ca="1" si="96">IF(M$26="007停車場建物",ROUND((M44+M44/(M$5-M$6)*M$6+M44/(M$5-M$6)*M$15)*$D$4,-3),"")</f>
        <v>0</v>
      </c>
      <c r="N113" s="620">
        <f t="shared" ca="1" si="96"/>
        <v>0</v>
      </c>
    </row>
    <row r="114" spans="1:14" ht="13.5" hidden="1" customHeight="1">
      <c r="A114" s="701"/>
      <c r="B114" s="702"/>
      <c r="C114" s="703">
        <v>10500719</v>
      </c>
      <c r="D114" s="704" t="s">
        <v>534</v>
      </c>
      <c r="E114" s="705"/>
      <c r="F114" s="706"/>
      <c r="G114" s="619">
        <f t="shared" ca="1" si="61"/>
        <v>0</v>
      </c>
      <c r="H114" s="620">
        <f t="shared" ref="H114:J114" ca="1" si="97">IF(H$26="007停車場建物",ROUND((H45+H45/(H$5-H$6)*H$6+H45/(H$5-H$6)*H$15)*$D$4,-3),"")</f>
        <v>0</v>
      </c>
      <c r="I114" s="620"/>
      <c r="J114" s="620">
        <f t="shared" ca="1" si="97"/>
        <v>0</v>
      </c>
      <c r="K114" s="620">
        <f t="shared" ca="1" si="63"/>
        <v>0</v>
      </c>
      <c r="L114" s="620">
        <f t="shared" ca="1" si="63"/>
        <v>0</v>
      </c>
      <c r="M114" s="620">
        <f t="shared" ref="M114:N114" ca="1" si="98">IF(M$26="007停車場建物",ROUND((M45+M45/(M$5-M$6)*M$6+M45/(M$5-M$6)*M$15)*$D$4,-3),"")</f>
        <v>0</v>
      </c>
      <c r="N114" s="620">
        <f t="shared" ca="1" si="98"/>
        <v>0</v>
      </c>
    </row>
    <row r="115" spans="1:14" ht="13.5" hidden="1" customHeight="1">
      <c r="A115" s="701"/>
      <c r="B115" s="702"/>
      <c r="C115" s="703">
        <v>10500720</v>
      </c>
      <c r="D115" s="704" t="s">
        <v>535</v>
      </c>
      <c r="E115" s="705"/>
      <c r="F115" s="706"/>
      <c r="G115" s="619">
        <f t="shared" ca="1" si="61"/>
        <v>0</v>
      </c>
      <c r="H115" s="620">
        <f t="shared" ref="H115:J115" ca="1" si="99">IF(H$26="007停車場建物",ROUND((H46+H46/(H$5-H$6)*H$6+H46/(H$5-H$6)*H$15)*$D$4,-3),"")</f>
        <v>0</v>
      </c>
      <c r="I115" s="620"/>
      <c r="J115" s="620">
        <f t="shared" ca="1" si="99"/>
        <v>0</v>
      </c>
      <c r="K115" s="620">
        <f t="shared" ca="1" si="63"/>
        <v>0</v>
      </c>
      <c r="L115" s="620">
        <f t="shared" ca="1" si="63"/>
        <v>0</v>
      </c>
      <c r="M115" s="620">
        <f t="shared" ref="M115:N115" ca="1" si="100">IF(M$26="007停車場建物",ROUND((M46+M46/(M$5-M$6)*M$6+M46/(M$5-M$6)*M$15)*$D$4,-3),"")</f>
        <v>0</v>
      </c>
      <c r="N115" s="620">
        <f t="shared" ca="1" si="100"/>
        <v>0</v>
      </c>
    </row>
    <row r="116" spans="1:14" ht="13.5" hidden="1" customHeight="1">
      <c r="A116" s="701"/>
      <c r="B116" s="702"/>
      <c r="C116" s="703">
        <v>10500721</v>
      </c>
      <c r="D116" s="704" t="s">
        <v>536</v>
      </c>
      <c r="E116" s="705"/>
      <c r="F116" s="706"/>
      <c r="G116" s="619">
        <f t="shared" ca="1" si="61"/>
        <v>0</v>
      </c>
      <c r="H116" s="620">
        <f t="shared" ref="H116:J116" ca="1" si="101">IF(H$26="007停車場建物",ROUND((H47+H47/(H$5-H$6)*H$6+H47/(H$5-H$6)*H$15)*$D$4,-3),"")</f>
        <v>0</v>
      </c>
      <c r="I116" s="620"/>
      <c r="J116" s="620">
        <f t="shared" ca="1" si="101"/>
        <v>0</v>
      </c>
      <c r="K116" s="620">
        <f t="shared" ca="1" si="63"/>
        <v>0</v>
      </c>
      <c r="L116" s="620">
        <f t="shared" ca="1" si="63"/>
        <v>0</v>
      </c>
      <c r="M116" s="620">
        <f t="shared" ref="M116:N116" ca="1" si="102">IF(M$26="007停車場建物",ROUND((M47+M47/(M$5-M$6)*M$6+M47/(M$5-M$6)*M$15)*$D$4,-3),"")</f>
        <v>0</v>
      </c>
      <c r="N116" s="620">
        <f t="shared" ca="1" si="102"/>
        <v>0</v>
      </c>
    </row>
    <row r="117" spans="1:14" ht="13.5" hidden="1" customHeight="1">
      <c r="A117" s="701"/>
      <c r="B117" s="702"/>
      <c r="C117" s="703">
        <v>10500722</v>
      </c>
      <c r="D117" s="704" t="s">
        <v>537</v>
      </c>
      <c r="E117" s="705"/>
      <c r="F117" s="706"/>
      <c r="G117" s="619">
        <f t="shared" ca="1" si="61"/>
        <v>0</v>
      </c>
      <c r="H117" s="620">
        <f t="shared" ref="H117:J117" ca="1" si="103">IF(H$26="007停車場建物",ROUND((H48+H48/(H$5-H$6)*H$6+H48/(H$5-H$6)*H$15)*$D$4,-3),"")</f>
        <v>0</v>
      </c>
      <c r="I117" s="620"/>
      <c r="J117" s="620">
        <f t="shared" ca="1" si="103"/>
        <v>0</v>
      </c>
      <c r="K117" s="620">
        <f t="shared" ca="1" si="63"/>
        <v>0</v>
      </c>
      <c r="L117" s="620">
        <f t="shared" ca="1" si="63"/>
        <v>0</v>
      </c>
      <c r="M117" s="620">
        <f t="shared" ref="M117:N117" ca="1" si="104">IF(M$26="007停車場建物",ROUND((M48+M48/(M$5-M$6)*M$6+M48/(M$5-M$6)*M$15)*$D$4,-3),"")</f>
        <v>0</v>
      </c>
      <c r="N117" s="620">
        <f t="shared" ca="1" si="104"/>
        <v>0</v>
      </c>
    </row>
    <row r="118" spans="1:14" ht="13.5" hidden="1" customHeight="1">
      <c r="A118" s="701"/>
      <c r="B118" s="702"/>
      <c r="C118" s="703">
        <v>10500723</v>
      </c>
      <c r="D118" s="704" t="s">
        <v>538</v>
      </c>
      <c r="E118" s="705"/>
      <c r="F118" s="706"/>
      <c r="G118" s="619">
        <f t="shared" ca="1" si="61"/>
        <v>0</v>
      </c>
      <c r="H118" s="620">
        <f t="shared" ref="H118:J118" ca="1" si="105">IF(H$26="007停車場建物",ROUND((H49+H49/(H$5-H$6)*H$6+H49/(H$5-H$6)*H$15)*$D$4,-3),"")</f>
        <v>0</v>
      </c>
      <c r="I118" s="620"/>
      <c r="J118" s="620">
        <f t="shared" ca="1" si="105"/>
        <v>0</v>
      </c>
      <c r="K118" s="620">
        <f t="shared" ca="1" si="63"/>
        <v>0</v>
      </c>
      <c r="L118" s="620">
        <f t="shared" ca="1" si="63"/>
        <v>0</v>
      </c>
      <c r="M118" s="620">
        <f t="shared" ref="M118:N118" ca="1" si="106">IF(M$26="007停車場建物",ROUND((M49+M49/(M$5-M$6)*M$6+M49/(M$5-M$6)*M$15)*$D$4,-3),"")</f>
        <v>0</v>
      </c>
      <c r="N118" s="620">
        <f t="shared" ca="1" si="106"/>
        <v>0</v>
      </c>
    </row>
    <row r="119" spans="1:14" ht="13.5" hidden="1" customHeight="1">
      <c r="A119" s="701"/>
      <c r="B119" s="702"/>
      <c r="C119" s="703">
        <v>10500724</v>
      </c>
      <c r="D119" s="704" t="s">
        <v>539</v>
      </c>
      <c r="E119" s="705"/>
      <c r="F119" s="706"/>
      <c r="G119" s="619">
        <f t="shared" ca="1" si="61"/>
        <v>0</v>
      </c>
      <c r="H119" s="620">
        <f t="shared" ref="H119:J119" ca="1" si="107">IF(H$26="007停車場建物",ROUND((H50+H50/(H$5-H$6)*H$6+H50/(H$5-H$6)*H$15)*$D$4,-3),"")</f>
        <v>0</v>
      </c>
      <c r="I119" s="620"/>
      <c r="J119" s="620">
        <f t="shared" ca="1" si="107"/>
        <v>0</v>
      </c>
      <c r="K119" s="620">
        <f t="shared" ca="1" si="63"/>
        <v>0</v>
      </c>
      <c r="L119" s="620">
        <f t="shared" ca="1" si="63"/>
        <v>0</v>
      </c>
      <c r="M119" s="620">
        <f t="shared" ref="M119:N119" ca="1" si="108">IF(M$26="007停車場建物",ROUND((M50+M50/(M$5-M$6)*M$6+M50/(M$5-M$6)*M$15)*$D$4,-3),"")</f>
        <v>0</v>
      </c>
      <c r="N119" s="620">
        <f t="shared" ca="1" si="108"/>
        <v>0</v>
      </c>
    </row>
    <row r="120" spans="1:14" ht="13.5" hidden="1" customHeight="1">
      <c r="A120" s="701"/>
      <c r="B120" s="702"/>
      <c r="C120" s="703">
        <v>10500725</v>
      </c>
      <c r="D120" s="704" t="s">
        <v>540</v>
      </c>
      <c r="E120" s="705"/>
      <c r="F120" s="706"/>
      <c r="G120" s="619">
        <f t="shared" ca="1" si="61"/>
        <v>0</v>
      </c>
      <c r="H120" s="620">
        <f t="shared" ref="H120:J120" ca="1" si="109">IF(H$26="007停車場建物",ROUND((H51+H51/(H$5-H$6)*H$6+H51/(H$5-H$6)*H$15)*$D$4,-3),"")</f>
        <v>0</v>
      </c>
      <c r="I120" s="620"/>
      <c r="J120" s="620">
        <f t="shared" ca="1" si="109"/>
        <v>0</v>
      </c>
      <c r="K120" s="620">
        <f t="shared" ca="1" si="63"/>
        <v>0</v>
      </c>
      <c r="L120" s="620">
        <f t="shared" ca="1" si="63"/>
        <v>0</v>
      </c>
      <c r="M120" s="620">
        <f t="shared" ref="M120:N120" ca="1" si="110">IF(M$26="007停車場建物",ROUND((M51+M51/(M$5-M$6)*M$6+M51/(M$5-M$6)*M$15)*$D$4,-3),"")</f>
        <v>0</v>
      </c>
      <c r="N120" s="620">
        <f t="shared" ca="1" si="110"/>
        <v>0</v>
      </c>
    </row>
    <row r="121" spans="1:14" ht="13.5" hidden="1" customHeight="1">
      <c r="A121" s="701"/>
      <c r="B121" s="702"/>
      <c r="C121" s="708"/>
      <c r="D121" s="709"/>
      <c r="E121" s="710"/>
      <c r="F121" s="623"/>
      <c r="G121" s="811">
        <f>SUM(H121:M121)</f>
        <v>0</v>
      </c>
      <c r="H121" s="712"/>
      <c r="I121" s="712"/>
      <c r="J121" s="712"/>
      <c r="K121" s="712"/>
      <c r="L121" s="712"/>
      <c r="M121" s="712"/>
      <c r="N121" s="712"/>
    </row>
    <row r="122" spans="1:14" ht="13.5" hidden="1" customHeight="1">
      <c r="A122" s="701"/>
      <c r="B122" s="702"/>
      <c r="C122" s="703">
        <v>10500801</v>
      </c>
      <c r="D122" s="704" t="s">
        <v>541</v>
      </c>
      <c r="E122" s="705"/>
      <c r="F122" s="706"/>
      <c r="G122" s="619">
        <f t="shared" si="61"/>
        <v>0</v>
      </c>
      <c r="H122" s="620" t="str">
        <f t="shared" ref="H122:J122" si="111">IF(H$26="008変電所建物",ROUND((H27+H27/(H$5-H$6)*H$6+H27/(H$5-H$6)*H$15)*$D$4,-3),"")</f>
        <v/>
      </c>
      <c r="I122" s="620" t="str">
        <f t="shared" si="111"/>
        <v/>
      </c>
      <c r="J122" s="620" t="str">
        <f t="shared" si="111"/>
        <v/>
      </c>
      <c r="K122" s="620" t="str">
        <f t="shared" ref="K122:L146" si="112">IF(K$26="008変電所建物",ROUND((K27+K27/(K$5-K$6)*K$6+K27/(K$5-K$6)*K$15)*$D$4,-3),"")</f>
        <v/>
      </c>
      <c r="L122" s="620" t="str">
        <f t="shared" si="112"/>
        <v/>
      </c>
      <c r="M122" s="620" t="str">
        <f t="shared" ref="M122:N122" si="113">IF(M$26="008変電所建物",ROUND((M27+M27/(M$5-M$6)*M$6+M27/(M$5-M$6)*M$15)*$D$4,-3),"")</f>
        <v/>
      </c>
      <c r="N122" s="620" t="str">
        <f t="shared" si="113"/>
        <v/>
      </c>
    </row>
    <row r="123" spans="1:14" ht="13.5" hidden="1" customHeight="1">
      <c r="A123" s="701"/>
      <c r="B123" s="702"/>
      <c r="C123" s="703">
        <v>10500802</v>
      </c>
      <c r="D123" s="704" t="s">
        <v>542</v>
      </c>
      <c r="E123" s="705"/>
      <c r="F123" s="706"/>
      <c r="G123" s="619">
        <f t="shared" si="61"/>
        <v>0</v>
      </c>
      <c r="H123" s="825" t="str">
        <f t="shared" ref="H123:J123" si="114">IF(H$26="008変電所建物",ROUND((H28+H28/(H$5-H$6)*H$6+H28/(H$5-H$6)*H$15)*$D$4,-3),"")</f>
        <v/>
      </c>
      <c r="I123" s="825" t="str">
        <f t="shared" si="114"/>
        <v/>
      </c>
      <c r="J123" s="825" t="str">
        <f t="shared" si="114"/>
        <v/>
      </c>
      <c r="K123" s="825" t="str">
        <f t="shared" si="112"/>
        <v/>
      </c>
      <c r="L123" s="825" t="str">
        <f t="shared" si="112"/>
        <v/>
      </c>
      <c r="M123" s="825" t="str">
        <f t="shared" ref="M123:N123" si="115">IF(M$26="008変電所建物",ROUND((M28+M28/(M$5-M$6)*M$6+M28/(M$5-M$6)*M$15)*$D$4,-3),"")</f>
        <v/>
      </c>
      <c r="N123" s="825" t="str">
        <f t="shared" si="115"/>
        <v/>
      </c>
    </row>
    <row r="124" spans="1:14" ht="13.5" hidden="1" customHeight="1">
      <c r="A124" s="701"/>
      <c r="B124" s="702"/>
      <c r="C124" s="703">
        <v>10500803</v>
      </c>
      <c r="D124" s="704" t="s">
        <v>543</v>
      </c>
      <c r="E124" s="705"/>
      <c r="F124" s="706"/>
      <c r="G124" s="619">
        <f t="shared" si="61"/>
        <v>0</v>
      </c>
      <c r="H124" s="825" t="str">
        <f t="shared" ref="H124:J124" si="116">IF(H$26="008変電所建物",ROUND((H29+H29/(H$5-H$6)*H$6+H29/(H$5-H$6)*H$15)*$D$4,-3),"")</f>
        <v/>
      </c>
      <c r="I124" s="825" t="str">
        <f t="shared" si="116"/>
        <v/>
      </c>
      <c r="J124" s="825" t="str">
        <f t="shared" si="116"/>
        <v/>
      </c>
      <c r="K124" s="825" t="str">
        <f t="shared" si="112"/>
        <v/>
      </c>
      <c r="L124" s="825" t="str">
        <f t="shared" si="112"/>
        <v/>
      </c>
      <c r="M124" s="825" t="str">
        <f t="shared" ref="M124:N124" si="117">IF(M$26="008変電所建物",ROUND((M29+M29/(M$5-M$6)*M$6+M29/(M$5-M$6)*M$15)*$D$4,-3),"")</f>
        <v/>
      </c>
      <c r="N124" s="825" t="str">
        <f t="shared" si="117"/>
        <v/>
      </c>
    </row>
    <row r="125" spans="1:14" ht="13.5" hidden="1" customHeight="1">
      <c r="A125" s="701"/>
      <c r="B125" s="702"/>
      <c r="C125" s="703">
        <v>10500804</v>
      </c>
      <c r="D125" s="704" t="s">
        <v>544</v>
      </c>
      <c r="E125" s="705"/>
      <c r="F125" s="706"/>
      <c r="G125" s="619">
        <f t="shared" si="61"/>
        <v>0</v>
      </c>
      <c r="H125" s="825" t="str">
        <f t="shared" ref="H125:J125" si="118">IF(H$26="008変電所建物",ROUND((H30+H30/(H$5-H$6)*H$6+H30/(H$5-H$6)*H$15)*$D$4,-3),"")</f>
        <v/>
      </c>
      <c r="I125" s="825" t="str">
        <f t="shared" si="118"/>
        <v/>
      </c>
      <c r="J125" s="825" t="str">
        <f t="shared" si="118"/>
        <v/>
      </c>
      <c r="K125" s="825" t="str">
        <f t="shared" si="112"/>
        <v/>
      </c>
      <c r="L125" s="825" t="str">
        <f t="shared" si="112"/>
        <v/>
      </c>
      <c r="M125" s="825" t="str">
        <f t="shared" ref="M125:N125" si="119">IF(M$26="008変電所建物",ROUND((M30+M30/(M$5-M$6)*M$6+M30/(M$5-M$6)*M$15)*$D$4,-3),"")</f>
        <v/>
      </c>
      <c r="N125" s="825" t="str">
        <f t="shared" si="119"/>
        <v/>
      </c>
    </row>
    <row r="126" spans="1:14" ht="13.5" hidden="1" customHeight="1">
      <c r="A126" s="701"/>
      <c r="B126" s="702"/>
      <c r="C126" s="703">
        <v>10500805</v>
      </c>
      <c r="D126" s="704" t="s">
        <v>545</v>
      </c>
      <c r="E126" s="705"/>
      <c r="F126" s="706"/>
      <c r="G126" s="619">
        <f t="shared" si="61"/>
        <v>0</v>
      </c>
      <c r="H126" s="825" t="str">
        <f t="shared" ref="H126:J126" si="120">IF(H$26="008変電所建物",ROUND((H31+H31/(H$5-H$6)*H$6+H31/(H$5-H$6)*H$15)*$D$4,-3),"")</f>
        <v/>
      </c>
      <c r="I126" s="825" t="str">
        <f t="shared" si="120"/>
        <v/>
      </c>
      <c r="J126" s="825" t="str">
        <f t="shared" si="120"/>
        <v/>
      </c>
      <c r="K126" s="825" t="str">
        <f t="shared" si="112"/>
        <v/>
      </c>
      <c r="L126" s="825" t="str">
        <f t="shared" si="112"/>
        <v/>
      </c>
      <c r="M126" s="825" t="str">
        <f t="shared" ref="M126:N126" si="121">IF(M$26="008変電所建物",ROUND((M31+M31/(M$5-M$6)*M$6+M31/(M$5-M$6)*M$15)*$D$4,-3),"")</f>
        <v/>
      </c>
      <c r="N126" s="825" t="str">
        <f t="shared" si="121"/>
        <v/>
      </c>
    </row>
    <row r="127" spans="1:14" ht="13.5" hidden="1" customHeight="1">
      <c r="A127" s="701"/>
      <c r="B127" s="702"/>
      <c r="C127" s="703">
        <v>10500806</v>
      </c>
      <c r="D127" s="704" t="s">
        <v>546</v>
      </c>
      <c r="E127" s="705"/>
      <c r="F127" s="706"/>
      <c r="G127" s="619">
        <f t="shared" si="61"/>
        <v>0</v>
      </c>
      <c r="H127" s="825" t="str">
        <f t="shared" ref="H127:J127" si="122">IF(H$26="008変電所建物",ROUND((H32+H32/(H$5-H$6)*H$6+H32/(H$5-H$6)*H$15)*$D$4,-3),"")</f>
        <v/>
      </c>
      <c r="I127" s="825" t="str">
        <f t="shared" si="122"/>
        <v/>
      </c>
      <c r="J127" s="825" t="str">
        <f t="shared" si="122"/>
        <v/>
      </c>
      <c r="K127" s="825" t="str">
        <f t="shared" si="112"/>
        <v/>
      </c>
      <c r="L127" s="825" t="str">
        <f t="shared" si="112"/>
        <v/>
      </c>
      <c r="M127" s="825" t="str">
        <f t="shared" ref="M127:N127" si="123">IF(M$26="008変電所建物",ROUND((M32+M32/(M$5-M$6)*M$6+M32/(M$5-M$6)*M$15)*$D$4,-3),"")</f>
        <v/>
      </c>
      <c r="N127" s="825" t="str">
        <f t="shared" si="123"/>
        <v/>
      </c>
    </row>
    <row r="128" spans="1:14" ht="13.5" hidden="1" customHeight="1">
      <c r="A128" s="701"/>
      <c r="B128" s="702"/>
      <c r="C128" s="703">
        <v>10500807</v>
      </c>
      <c r="D128" s="704" t="s">
        <v>547</v>
      </c>
      <c r="E128" s="705"/>
      <c r="F128" s="706"/>
      <c r="G128" s="619">
        <f t="shared" si="61"/>
        <v>0</v>
      </c>
      <c r="H128" s="825" t="str">
        <f t="shared" ref="H128:J128" si="124">IF(H$26="008変電所建物",ROUND((H33+H33/(H$5-H$6)*H$6+H33/(H$5-H$6)*H$15)*$D$4,-3),"")</f>
        <v/>
      </c>
      <c r="I128" s="825" t="str">
        <f t="shared" si="124"/>
        <v/>
      </c>
      <c r="J128" s="825" t="str">
        <f t="shared" si="124"/>
        <v/>
      </c>
      <c r="K128" s="825" t="str">
        <f t="shared" si="112"/>
        <v/>
      </c>
      <c r="L128" s="825" t="str">
        <f t="shared" si="112"/>
        <v/>
      </c>
      <c r="M128" s="825" t="str">
        <f t="shared" ref="M128:N128" si="125">IF(M$26="008変電所建物",ROUND((M33+M33/(M$5-M$6)*M$6+M33/(M$5-M$6)*M$15)*$D$4,-3),"")</f>
        <v/>
      </c>
      <c r="N128" s="825" t="str">
        <f t="shared" si="125"/>
        <v/>
      </c>
    </row>
    <row r="129" spans="1:14" ht="13.5" hidden="1" customHeight="1">
      <c r="A129" s="701"/>
      <c r="B129" s="702"/>
      <c r="C129" s="703">
        <v>10500808</v>
      </c>
      <c r="D129" s="704" t="s">
        <v>548</v>
      </c>
      <c r="E129" s="705"/>
      <c r="F129" s="706"/>
      <c r="G129" s="619">
        <f t="shared" si="61"/>
        <v>0</v>
      </c>
      <c r="H129" s="825" t="str">
        <f t="shared" ref="H129:J129" si="126">IF(H$26="008変電所建物",ROUND((H34+H34/(H$5-H$6)*H$6+H34/(H$5-H$6)*H$15)*$D$4,-3),"")</f>
        <v/>
      </c>
      <c r="I129" s="825" t="str">
        <f t="shared" si="126"/>
        <v/>
      </c>
      <c r="J129" s="825" t="str">
        <f t="shared" si="126"/>
        <v/>
      </c>
      <c r="K129" s="825" t="str">
        <f t="shared" si="112"/>
        <v/>
      </c>
      <c r="L129" s="825" t="str">
        <f t="shared" si="112"/>
        <v/>
      </c>
      <c r="M129" s="825" t="str">
        <f t="shared" ref="M129:N129" si="127">IF(M$26="008変電所建物",ROUND((M34+M34/(M$5-M$6)*M$6+M34/(M$5-M$6)*M$15)*$D$4,-3),"")</f>
        <v/>
      </c>
      <c r="N129" s="825" t="str">
        <f t="shared" si="127"/>
        <v/>
      </c>
    </row>
    <row r="130" spans="1:14" ht="13.5" hidden="1" customHeight="1">
      <c r="A130" s="701"/>
      <c r="B130" s="702"/>
      <c r="C130" s="703">
        <v>10500809</v>
      </c>
      <c r="D130" s="704" t="s">
        <v>549</v>
      </c>
      <c r="E130" s="705"/>
      <c r="F130" s="706"/>
      <c r="G130" s="619">
        <f t="shared" si="61"/>
        <v>0</v>
      </c>
      <c r="H130" s="825" t="str">
        <f t="shared" ref="H130:J130" si="128">IF(H$26="008変電所建物",ROUND((H35+H35/(H$5-H$6)*H$6+H35/(H$5-H$6)*H$15)*$D$4,-3),"")</f>
        <v/>
      </c>
      <c r="I130" s="825" t="str">
        <f t="shared" si="128"/>
        <v/>
      </c>
      <c r="J130" s="825" t="str">
        <f t="shared" si="128"/>
        <v/>
      </c>
      <c r="K130" s="825" t="str">
        <f t="shared" si="112"/>
        <v/>
      </c>
      <c r="L130" s="825" t="str">
        <f t="shared" si="112"/>
        <v/>
      </c>
      <c r="M130" s="825" t="str">
        <f t="shared" ref="M130:N130" si="129">IF(M$26="008変電所建物",ROUND((M35+M35/(M$5-M$6)*M$6+M35/(M$5-M$6)*M$15)*$D$4,-3),"")</f>
        <v/>
      </c>
      <c r="N130" s="825" t="str">
        <f t="shared" si="129"/>
        <v/>
      </c>
    </row>
    <row r="131" spans="1:14" ht="13.5" hidden="1" customHeight="1">
      <c r="A131" s="701"/>
      <c r="B131" s="702"/>
      <c r="C131" s="703">
        <v>10500810</v>
      </c>
      <c r="D131" s="704" t="s">
        <v>550</v>
      </c>
      <c r="E131" s="705"/>
      <c r="F131" s="706"/>
      <c r="G131" s="619">
        <f t="shared" si="61"/>
        <v>0</v>
      </c>
      <c r="H131" s="825" t="str">
        <f t="shared" ref="H131:J131" si="130">IF(H$26="008変電所建物",ROUND((H36+H36/(H$5-H$6)*H$6+H36/(H$5-H$6)*H$15)*$D$4,-3),"")</f>
        <v/>
      </c>
      <c r="I131" s="825" t="str">
        <f t="shared" si="130"/>
        <v/>
      </c>
      <c r="J131" s="825" t="str">
        <f t="shared" si="130"/>
        <v/>
      </c>
      <c r="K131" s="825" t="str">
        <f t="shared" si="112"/>
        <v/>
      </c>
      <c r="L131" s="825" t="str">
        <f t="shared" si="112"/>
        <v/>
      </c>
      <c r="M131" s="825" t="str">
        <f t="shared" ref="M131:N131" si="131">IF(M$26="008変電所建物",ROUND((M36+M36/(M$5-M$6)*M$6+M36/(M$5-M$6)*M$15)*$D$4,-3),"")</f>
        <v/>
      </c>
      <c r="N131" s="825" t="str">
        <f t="shared" si="131"/>
        <v/>
      </c>
    </row>
    <row r="132" spans="1:14" ht="13.5" hidden="1" customHeight="1">
      <c r="A132" s="701"/>
      <c r="B132" s="702"/>
      <c r="C132" s="703">
        <v>10500811</v>
      </c>
      <c r="D132" s="704" t="s">
        <v>551</v>
      </c>
      <c r="E132" s="705"/>
      <c r="F132" s="706"/>
      <c r="G132" s="619">
        <f t="shared" si="61"/>
        <v>0</v>
      </c>
      <c r="H132" s="825" t="str">
        <f t="shared" ref="H132:J132" si="132">IF(H$26="008変電所建物",ROUND((H37+H37/(H$5-H$6)*H$6+H37/(H$5-H$6)*H$15)*$D$4,-3),"")</f>
        <v/>
      </c>
      <c r="I132" s="825" t="str">
        <f t="shared" si="132"/>
        <v/>
      </c>
      <c r="J132" s="825" t="str">
        <f t="shared" si="132"/>
        <v/>
      </c>
      <c r="K132" s="825" t="str">
        <f t="shared" si="112"/>
        <v/>
      </c>
      <c r="L132" s="825" t="str">
        <f t="shared" si="112"/>
        <v/>
      </c>
      <c r="M132" s="825" t="str">
        <f t="shared" ref="M132:N132" si="133">IF(M$26="008変電所建物",ROUND((M37+M37/(M$5-M$6)*M$6+M37/(M$5-M$6)*M$15)*$D$4,-3),"")</f>
        <v/>
      </c>
      <c r="N132" s="825" t="str">
        <f t="shared" si="133"/>
        <v/>
      </c>
    </row>
    <row r="133" spans="1:14" ht="13.5" hidden="1" customHeight="1">
      <c r="A133" s="701"/>
      <c r="B133" s="702"/>
      <c r="C133" s="703">
        <v>10500812</v>
      </c>
      <c r="D133" s="704" t="s">
        <v>552</v>
      </c>
      <c r="E133" s="705"/>
      <c r="F133" s="706"/>
      <c r="G133" s="619">
        <f t="shared" si="61"/>
        <v>0</v>
      </c>
      <c r="H133" s="825" t="str">
        <f t="shared" ref="H133:J133" si="134">IF(H$26="008変電所建物",ROUND((H38+H38/(H$5-H$6)*H$6+H38/(H$5-H$6)*H$15)*$D$4,-3),"")</f>
        <v/>
      </c>
      <c r="I133" s="825" t="str">
        <f t="shared" si="134"/>
        <v/>
      </c>
      <c r="J133" s="825" t="str">
        <f t="shared" si="134"/>
        <v/>
      </c>
      <c r="K133" s="825" t="str">
        <f t="shared" si="112"/>
        <v/>
      </c>
      <c r="L133" s="825" t="str">
        <f t="shared" si="112"/>
        <v/>
      </c>
      <c r="M133" s="825" t="str">
        <f t="shared" ref="M133:N133" si="135">IF(M$26="008変電所建物",ROUND((M38+M38/(M$5-M$6)*M$6+M38/(M$5-M$6)*M$15)*$D$4,-3),"")</f>
        <v/>
      </c>
      <c r="N133" s="825" t="str">
        <f t="shared" si="135"/>
        <v/>
      </c>
    </row>
    <row r="134" spans="1:14" ht="13.5" hidden="1" customHeight="1">
      <c r="A134" s="701"/>
      <c r="B134" s="702"/>
      <c r="C134" s="703">
        <v>10500813</v>
      </c>
      <c r="D134" s="704" t="s">
        <v>553</v>
      </c>
      <c r="E134" s="705"/>
      <c r="F134" s="706"/>
      <c r="G134" s="619">
        <f t="shared" si="61"/>
        <v>0</v>
      </c>
      <c r="H134" s="825" t="str">
        <f t="shared" ref="H134:J134" si="136">IF(H$26="008変電所建物",ROUND((H39+H39/(H$5-H$6)*H$6+H39/(H$5-H$6)*H$15)*$D$4,-3),"")</f>
        <v/>
      </c>
      <c r="I134" s="825" t="str">
        <f t="shared" si="136"/>
        <v/>
      </c>
      <c r="J134" s="825" t="str">
        <f t="shared" si="136"/>
        <v/>
      </c>
      <c r="K134" s="825" t="str">
        <f t="shared" si="112"/>
        <v/>
      </c>
      <c r="L134" s="825" t="str">
        <f t="shared" si="112"/>
        <v/>
      </c>
      <c r="M134" s="825" t="str">
        <f t="shared" ref="M134:N134" si="137">IF(M$26="008変電所建物",ROUND((M39+M39/(M$5-M$6)*M$6+M39/(M$5-M$6)*M$15)*$D$4,-3),"")</f>
        <v/>
      </c>
      <c r="N134" s="825" t="str">
        <f t="shared" si="137"/>
        <v/>
      </c>
    </row>
    <row r="135" spans="1:14" ht="13.5" hidden="1" customHeight="1">
      <c r="A135" s="701"/>
      <c r="B135" s="702"/>
      <c r="C135" s="703">
        <v>10500814</v>
      </c>
      <c r="D135" s="704" t="s">
        <v>554</v>
      </c>
      <c r="E135" s="705"/>
      <c r="F135" s="706"/>
      <c r="G135" s="619">
        <f t="shared" si="61"/>
        <v>0</v>
      </c>
      <c r="H135" s="825" t="str">
        <f t="shared" ref="H135:J135" si="138">IF(H$26="008変電所建物",ROUND((H40+H40/(H$5-H$6)*H$6+H40/(H$5-H$6)*H$15)*$D$4,-3),"")</f>
        <v/>
      </c>
      <c r="I135" s="825" t="str">
        <f t="shared" si="138"/>
        <v/>
      </c>
      <c r="J135" s="825" t="str">
        <f t="shared" si="138"/>
        <v/>
      </c>
      <c r="K135" s="825" t="str">
        <f t="shared" si="112"/>
        <v/>
      </c>
      <c r="L135" s="825" t="str">
        <f t="shared" si="112"/>
        <v/>
      </c>
      <c r="M135" s="825" t="str">
        <f t="shared" ref="M135:N135" si="139">IF(M$26="008変電所建物",ROUND((M40+M40/(M$5-M$6)*M$6+M40/(M$5-M$6)*M$15)*$D$4,-3),"")</f>
        <v/>
      </c>
      <c r="N135" s="825" t="str">
        <f t="shared" si="139"/>
        <v/>
      </c>
    </row>
    <row r="136" spans="1:14" ht="13.5" hidden="1" customHeight="1">
      <c r="A136" s="701"/>
      <c r="B136" s="702"/>
      <c r="C136" s="703">
        <v>10500815</v>
      </c>
      <c r="D136" s="704" t="s">
        <v>555</v>
      </c>
      <c r="E136" s="705"/>
      <c r="F136" s="706"/>
      <c r="G136" s="619">
        <f t="shared" si="61"/>
        <v>0</v>
      </c>
      <c r="H136" s="825" t="str">
        <f t="shared" ref="H136:J136" si="140">IF(H$26="008変電所建物",ROUND((H41+H41/(H$5-H$6)*H$6+H41/(H$5-H$6)*H$15)*$D$4,-3),"")</f>
        <v/>
      </c>
      <c r="I136" s="825" t="str">
        <f t="shared" si="140"/>
        <v/>
      </c>
      <c r="J136" s="825" t="str">
        <f t="shared" si="140"/>
        <v/>
      </c>
      <c r="K136" s="825" t="str">
        <f t="shared" si="112"/>
        <v/>
      </c>
      <c r="L136" s="825" t="str">
        <f t="shared" si="112"/>
        <v/>
      </c>
      <c r="M136" s="825" t="str">
        <f t="shared" ref="M136:N136" si="141">IF(M$26="008変電所建物",ROUND((M41+M41/(M$5-M$6)*M$6+M41/(M$5-M$6)*M$15)*$D$4,-3),"")</f>
        <v/>
      </c>
      <c r="N136" s="825" t="str">
        <f t="shared" si="141"/>
        <v/>
      </c>
    </row>
    <row r="137" spans="1:14" ht="13.5" hidden="1" customHeight="1">
      <c r="A137" s="701"/>
      <c r="B137" s="702"/>
      <c r="C137" s="703">
        <v>10500816</v>
      </c>
      <c r="D137" s="704" t="s">
        <v>556</v>
      </c>
      <c r="E137" s="705"/>
      <c r="F137" s="706"/>
      <c r="G137" s="619">
        <f t="shared" si="61"/>
        <v>0</v>
      </c>
      <c r="H137" s="825" t="str">
        <f t="shared" ref="H137:J137" si="142">IF(H$26="008変電所建物",ROUND((H42+H42/(H$5-H$6)*H$6+H42/(H$5-H$6)*H$15)*$D$4,-3),"")</f>
        <v/>
      </c>
      <c r="I137" s="825" t="str">
        <f t="shared" si="142"/>
        <v/>
      </c>
      <c r="J137" s="825" t="str">
        <f t="shared" si="142"/>
        <v/>
      </c>
      <c r="K137" s="825" t="str">
        <f t="shared" si="112"/>
        <v/>
      </c>
      <c r="L137" s="825" t="str">
        <f t="shared" si="112"/>
        <v/>
      </c>
      <c r="M137" s="825" t="str">
        <f t="shared" ref="M137:N137" si="143">IF(M$26="008変電所建物",ROUND((M42+M42/(M$5-M$6)*M$6+M42/(M$5-M$6)*M$15)*$D$4,-3),"")</f>
        <v/>
      </c>
      <c r="N137" s="825" t="str">
        <f t="shared" si="143"/>
        <v/>
      </c>
    </row>
    <row r="138" spans="1:14" ht="13.5" hidden="1" customHeight="1">
      <c r="A138" s="701"/>
      <c r="B138" s="702"/>
      <c r="C138" s="703">
        <v>10500817</v>
      </c>
      <c r="D138" s="704" t="s">
        <v>557</v>
      </c>
      <c r="E138" s="705"/>
      <c r="F138" s="706"/>
      <c r="G138" s="619">
        <f t="shared" si="61"/>
        <v>0</v>
      </c>
      <c r="H138" s="825" t="str">
        <f t="shared" ref="H138:J138" si="144">IF(H$26="008変電所建物",ROUND((H43+H43/(H$5-H$6)*H$6+H43/(H$5-H$6)*H$15)*$D$4,-3),"")</f>
        <v/>
      </c>
      <c r="I138" s="825" t="str">
        <f t="shared" si="144"/>
        <v/>
      </c>
      <c r="J138" s="825" t="str">
        <f t="shared" si="144"/>
        <v/>
      </c>
      <c r="K138" s="825" t="str">
        <f t="shared" si="112"/>
        <v/>
      </c>
      <c r="L138" s="825" t="str">
        <f t="shared" si="112"/>
        <v/>
      </c>
      <c r="M138" s="825" t="str">
        <f t="shared" ref="M138:N138" si="145">IF(M$26="008変電所建物",ROUND((M43+M43/(M$5-M$6)*M$6+M43/(M$5-M$6)*M$15)*$D$4,-3),"")</f>
        <v/>
      </c>
      <c r="N138" s="825" t="str">
        <f t="shared" si="145"/>
        <v/>
      </c>
    </row>
    <row r="139" spans="1:14" ht="13.5" hidden="1" customHeight="1">
      <c r="A139" s="701"/>
      <c r="B139" s="702"/>
      <c r="C139" s="703">
        <v>10500818</v>
      </c>
      <c r="D139" s="704" t="s">
        <v>558</v>
      </c>
      <c r="E139" s="705"/>
      <c r="F139" s="706"/>
      <c r="G139" s="619">
        <f t="shared" si="61"/>
        <v>0</v>
      </c>
      <c r="H139" s="825" t="str">
        <f t="shared" ref="H139:J139" si="146">IF(H$26="008変電所建物",ROUND((H44+H44/(H$5-H$6)*H$6+H44/(H$5-H$6)*H$15)*$D$4,-3),"")</f>
        <v/>
      </c>
      <c r="I139" s="825" t="str">
        <f t="shared" si="146"/>
        <v/>
      </c>
      <c r="J139" s="825" t="str">
        <f t="shared" si="146"/>
        <v/>
      </c>
      <c r="K139" s="825" t="str">
        <f t="shared" si="112"/>
        <v/>
      </c>
      <c r="L139" s="825" t="str">
        <f t="shared" si="112"/>
        <v/>
      </c>
      <c r="M139" s="825" t="str">
        <f t="shared" ref="M139:N139" si="147">IF(M$26="008変電所建物",ROUND((M44+M44/(M$5-M$6)*M$6+M44/(M$5-M$6)*M$15)*$D$4,-3),"")</f>
        <v/>
      </c>
      <c r="N139" s="825" t="str">
        <f t="shared" si="147"/>
        <v/>
      </c>
    </row>
    <row r="140" spans="1:14" ht="13.5" hidden="1" customHeight="1">
      <c r="A140" s="701"/>
      <c r="B140" s="702"/>
      <c r="C140" s="703">
        <v>10500819</v>
      </c>
      <c r="D140" s="704" t="s">
        <v>559</v>
      </c>
      <c r="E140" s="705"/>
      <c r="F140" s="706"/>
      <c r="G140" s="619">
        <f t="shared" si="61"/>
        <v>0</v>
      </c>
      <c r="H140" s="825" t="str">
        <f t="shared" ref="H140:J140" si="148">IF(H$26="008変電所建物",ROUND((H45+H45/(H$5-H$6)*H$6+H45/(H$5-H$6)*H$15)*$D$4,-3),"")</f>
        <v/>
      </c>
      <c r="I140" s="825" t="str">
        <f t="shared" si="148"/>
        <v/>
      </c>
      <c r="J140" s="825" t="str">
        <f t="shared" si="148"/>
        <v/>
      </c>
      <c r="K140" s="825" t="str">
        <f t="shared" si="112"/>
        <v/>
      </c>
      <c r="L140" s="825" t="str">
        <f t="shared" si="112"/>
        <v/>
      </c>
      <c r="M140" s="825" t="str">
        <f t="shared" ref="M140:N140" si="149">IF(M$26="008変電所建物",ROUND((M45+M45/(M$5-M$6)*M$6+M45/(M$5-M$6)*M$15)*$D$4,-3),"")</f>
        <v/>
      </c>
      <c r="N140" s="825" t="str">
        <f t="shared" si="149"/>
        <v/>
      </c>
    </row>
    <row r="141" spans="1:14" ht="13.5" hidden="1" customHeight="1">
      <c r="A141" s="701"/>
      <c r="B141" s="702"/>
      <c r="C141" s="703">
        <v>10500820</v>
      </c>
      <c r="D141" s="704" t="s">
        <v>560</v>
      </c>
      <c r="E141" s="705"/>
      <c r="F141" s="706"/>
      <c r="G141" s="619">
        <f t="shared" si="61"/>
        <v>0</v>
      </c>
      <c r="H141" s="825" t="str">
        <f t="shared" ref="H141:J141" si="150">IF(H$26="008変電所建物",ROUND((H46+H46/(H$5-H$6)*H$6+H46/(H$5-H$6)*H$15)*$D$4,-3),"")</f>
        <v/>
      </c>
      <c r="I141" s="825" t="str">
        <f t="shared" si="150"/>
        <v/>
      </c>
      <c r="J141" s="825" t="str">
        <f t="shared" si="150"/>
        <v/>
      </c>
      <c r="K141" s="825" t="str">
        <f t="shared" si="112"/>
        <v/>
      </c>
      <c r="L141" s="825" t="str">
        <f t="shared" si="112"/>
        <v/>
      </c>
      <c r="M141" s="825" t="str">
        <f t="shared" ref="M141:N141" si="151">IF(M$26="008変電所建物",ROUND((M46+M46/(M$5-M$6)*M$6+M46/(M$5-M$6)*M$15)*$D$4,-3),"")</f>
        <v/>
      </c>
      <c r="N141" s="825" t="str">
        <f t="shared" si="151"/>
        <v/>
      </c>
    </row>
    <row r="142" spans="1:14" ht="13.5" hidden="1" customHeight="1">
      <c r="A142" s="701"/>
      <c r="B142" s="702"/>
      <c r="C142" s="703">
        <v>10500821</v>
      </c>
      <c r="D142" s="704" t="s">
        <v>561</v>
      </c>
      <c r="E142" s="705"/>
      <c r="F142" s="706"/>
      <c r="G142" s="619">
        <f t="shared" si="61"/>
        <v>0</v>
      </c>
      <c r="H142" s="825" t="str">
        <f t="shared" ref="H142:J142" si="152">IF(H$26="008変電所建物",ROUND((H47+H47/(H$5-H$6)*H$6+H47/(H$5-H$6)*H$15)*$D$4,-3),"")</f>
        <v/>
      </c>
      <c r="I142" s="825" t="str">
        <f t="shared" si="152"/>
        <v/>
      </c>
      <c r="J142" s="825" t="str">
        <f t="shared" si="152"/>
        <v/>
      </c>
      <c r="K142" s="825" t="str">
        <f t="shared" si="112"/>
        <v/>
      </c>
      <c r="L142" s="825" t="str">
        <f t="shared" si="112"/>
        <v/>
      </c>
      <c r="M142" s="825" t="str">
        <f t="shared" ref="M142:N142" si="153">IF(M$26="008変電所建物",ROUND((M47+M47/(M$5-M$6)*M$6+M47/(M$5-M$6)*M$15)*$D$4,-3),"")</f>
        <v/>
      </c>
      <c r="N142" s="825" t="str">
        <f t="shared" si="153"/>
        <v/>
      </c>
    </row>
    <row r="143" spans="1:14" ht="13.5" hidden="1" customHeight="1">
      <c r="A143" s="701"/>
      <c r="B143" s="702"/>
      <c r="C143" s="703">
        <v>10500822</v>
      </c>
      <c r="D143" s="704" t="s">
        <v>562</v>
      </c>
      <c r="E143" s="705"/>
      <c r="F143" s="706"/>
      <c r="G143" s="619">
        <f t="shared" si="61"/>
        <v>0</v>
      </c>
      <c r="H143" s="825" t="str">
        <f t="shared" ref="H143:J143" si="154">IF(H$26="008変電所建物",ROUND((H48+H48/(H$5-H$6)*H$6+H48/(H$5-H$6)*H$15)*$D$4,-3),"")</f>
        <v/>
      </c>
      <c r="I143" s="825" t="str">
        <f t="shared" si="154"/>
        <v/>
      </c>
      <c r="J143" s="825" t="str">
        <f t="shared" si="154"/>
        <v/>
      </c>
      <c r="K143" s="825" t="str">
        <f t="shared" si="112"/>
        <v/>
      </c>
      <c r="L143" s="825" t="str">
        <f t="shared" si="112"/>
        <v/>
      </c>
      <c r="M143" s="825" t="str">
        <f t="shared" ref="M143:N143" si="155">IF(M$26="008変電所建物",ROUND((M48+M48/(M$5-M$6)*M$6+M48/(M$5-M$6)*M$15)*$D$4,-3),"")</f>
        <v/>
      </c>
      <c r="N143" s="825" t="str">
        <f t="shared" si="155"/>
        <v/>
      </c>
    </row>
    <row r="144" spans="1:14" ht="13.5" hidden="1" customHeight="1">
      <c r="A144" s="701"/>
      <c r="B144" s="702"/>
      <c r="C144" s="703">
        <v>10500823</v>
      </c>
      <c r="D144" s="704" t="s">
        <v>563</v>
      </c>
      <c r="E144" s="705"/>
      <c r="F144" s="706"/>
      <c r="G144" s="619">
        <f t="shared" si="61"/>
        <v>0</v>
      </c>
      <c r="H144" s="825" t="str">
        <f t="shared" ref="H144:J144" si="156">IF(H$26="008変電所建物",ROUND((H49+H49/(H$5-H$6)*H$6+H49/(H$5-H$6)*H$15)*$D$4,-3),"")</f>
        <v/>
      </c>
      <c r="I144" s="825" t="str">
        <f t="shared" si="156"/>
        <v/>
      </c>
      <c r="J144" s="825" t="str">
        <f t="shared" si="156"/>
        <v/>
      </c>
      <c r="K144" s="825" t="str">
        <f t="shared" si="112"/>
        <v/>
      </c>
      <c r="L144" s="825" t="str">
        <f t="shared" si="112"/>
        <v/>
      </c>
      <c r="M144" s="825" t="str">
        <f t="shared" ref="M144:N144" si="157">IF(M$26="008変電所建物",ROUND((M49+M49/(M$5-M$6)*M$6+M49/(M$5-M$6)*M$15)*$D$4,-3),"")</f>
        <v/>
      </c>
      <c r="N144" s="825" t="str">
        <f t="shared" si="157"/>
        <v/>
      </c>
    </row>
    <row r="145" spans="1:14" ht="13.5" hidden="1" customHeight="1">
      <c r="A145" s="701"/>
      <c r="B145" s="702"/>
      <c r="C145" s="703">
        <v>10500824</v>
      </c>
      <c r="D145" s="704" t="s">
        <v>564</v>
      </c>
      <c r="E145" s="705"/>
      <c r="F145" s="706"/>
      <c r="G145" s="619">
        <f t="shared" si="61"/>
        <v>0</v>
      </c>
      <c r="H145" s="825" t="str">
        <f t="shared" ref="H145:J145" si="158">IF(H$26="008変電所建物",ROUND((H50+H50/(H$5-H$6)*H$6+H50/(H$5-H$6)*H$15)*$D$4,-3),"")</f>
        <v/>
      </c>
      <c r="I145" s="825" t="str">
        <f t="shared" si="158"/>
        <v/>
      </c>
      <c r="J145" s="825" t="str">
        <f t="shared" si="158"/>
        <v/>
      </c>
      <c r="K145" s="825" t="str">
        <f t="shared" si="112"/>
        <v/>
      </c>
      <c r="L145" s="825" t="str">
        <f t="shared" si="112"/>
        <v/>
      </c>
      <c r="M145" s="825" t="str">
        <f t="shared" ref="M145:N145" si="159">IF(M$26="008変電所建物",ROUND((M50+M50/(M$5-M$6)*M$6+M50/(M$5-M$6)*M$15)*$D$4,-3),"")</f>
        <v/>
      </c>
      <c r="N145" s="825" t="str">
        <f t="shared" si="159"/>
        <v/>
      </c>
    </row>
    <row r="146" spans="1:14" ht="13.5" hidden="1" customHeight="1">
      <c r="A146" s="701"/>
      <c r="B146" s="702"/>
      <c r="C146" s="703">
        <v>10500825</v>
      </c>
      <c r="D146" s="704" t="s">
        <v>565</v>
      </c>
      <c r="E146" s="705"/>
      <c r="F146" s="706"/>
      <c r="G146" s="619">
        <f t="shared" si="61"/>
        <v>0</v>
      </c>
      <c r="H146" s="825" t="str">
        <f t="shared" ref="H146:J146" si="160">IF(H$26="008変電所建物",ROUND((H51+H51/(H$5-H$6)*H$6+H51/(H$5-H$6)*H$15)*$D$4,-3),"")</f>
        <v/>
      </c>
      <c r="I146" s="825" t="str">
        <f t="shared" si="160"/>
        <v/>
      </c>
      <c r="J146" s="825" t="str">
        <f t="shared" si="160"/>
        <v/>
      </c>
      <c r="K146" s="825" t="str">
        <f t="shared" si="112"/>
        <v/>
      </c>
      <c r="L146" s="825" t="str">
        <f t="shared" si="112"/>
        <v/>
      </c>
      <c r="M146" s="825" t="str">
        <f t="shared" ref="M146:N146" si="161">IF(M$26="008変電所建物",ROUND((M51+M51/(M$5-M$6)*M$6+M51/(M$5-M$6)*M$15)*$D$4,-3),"")</f>
        <v/>
      </c>
      <c r="N146" s="825" t="str">
        <f t="shared" si="161"/>
        <v/>
      </c>
    </row>
    <row r="147" spans="1:14" ht="13.5" hidden="1" customHeight="1">
      <c r="A147" s="701"/>
      <c r="B147" s="702"/>
      <c r="C147" s="708"/>
      <c r="D147" s="709"/>
      <c r="E147" s="710"/>
      <c r="F147" s="623"/>
      <c r="G147" s="711">
        <f>SUM(H147:M147)</f>
        <v>0</v>
      </c>
      <c r="H147" s="712"/>
      <c r="I147" s="712"/>
      <c r="J147" s="712"/>
      <c r="K147" s="712"/>
      <c r="L147" s="712"/>
      <c r="M147" s="712"/>
      <c r="N147" s="712"/>
    </row>
    <row r="148" spans="1:14" ht="13.5" hidden="1" customHeight="1">
      <c r="A148" s="701"/>
      <c r="B148" s="702"/>
      <c r="C148" s="703">
        <v>10500901</v>
      </c>
      <c r="D148" s="704" t="s">
        <v>566</v>
      </c>
      <c r="E148" s="705"/>
      <c r="F148" s="706"/>
      <c r="G148" s="615">
        <f>SUM(H148:M148)</f>
        <v>0</v>
      </c>
      <c r="H148" s="713" t="str">
        <f t="shared" ref="H148:M148" si="162">IF(H$26="009車庫、工場建物",ROUND((H27+H27/(H$5-H$6)*H$6+H27/(H$5-H$6)*H$15)*$D$4,-3),"")</f>
        <v/>
      </c>
      <c r="I148" s="713" t="str">
        <f t="shared" si="162"/>
        <v/>
      </c>
      <c r="J148" s="713" t="str">
        <f t="shared" si="162"/>
        <v/>
      </c>
      <c r="K148" s="713" t="str">
        <f t="shared" si="162"/>
        <v/>
      </c>
      <c r="L148" s="713" t="str">
        <f t="shared" si="162"/>
        <v/>
      </c>
      <c r="M148" s="713" t="str">
        <f t="shared" si="162"/>
        <v/>
      </c>
      <c r="N148" s="713" t="str">
        <f t="shared" ref="N148" si="163">IF(N$26="009車庫、工場建物",ROUND((N27+N27/(N$5-N$6)*N$6+N27/(N$5-N$6)*N$15)*$D$4,-3),"")</f>
        <v/>
      </c>
    </row>
    <row r="149" spans="1:14" ht="13.5" hidden="1" customHeight="1">
      <c r="A149" s="701"/>
      <c r="B149" s="702"/>
      <c r="C149" s="703">
        <v>10500902</v>
      </c>
      <c r="D149" s="704" t="s">
        <v>567</v>
      </c>
      <c r="E149" s="705"/>
      <c r="F149" s="706"/>
      <c r="G149" s="615">
        <f t="shared" ref="G149:G212" si="164">SUM(H149:M149)</f>
        <v>0</v>
      </c>
      <c r="H149" s="713" t="str">
        <f t="shared" ref="H149:J149" si="165">IF(H$26="009車庫、工場建物",ROUND((H28+H28/(H$5-H$6)*H$6+H28/(H$5-H$6)*H$15)*$D$4,-3),"")</f>
        <v/>
      </c>
      <c r="I149" s="713" t="str">
        <f t="shared" si="165"/>
        <v/>
      </c>
      <c r="J149" s="713" t="str">
        <f t="shared" si="165"/>
        <v/>
      </c>
      <c r="K149" s="713" t="str">
        <f t="shared" ref="K149:L172" si="166">IF(K$26="009車庫、工場建物",ROUND((K28+K28/(K$5-K$6)*K$6+K28/(K$5-K$6)*K$15)*$D$4,-3),"")</f>
        <v/>
      </c>
      <c r="L149" s="713" t="str">
        <f t="shared" si="166"/>
        <v/>
      </c>
      <c r="M149" s="713" t="str">
        <f t="shared" ref="M149:N149" si="167">IF(M$26="009車庫、工場建物",ROUND((M28+M28/(M$5-M$6)*M$6+M28/(M$5-M$6)*M$15)*$D$4,-3),"")</f>
        <v/>
      </c>
      <c r="N149" s="713" t="str">
        <f t="shared" si="167"/>
        <v/>
      </c>
    </row>
    <row r="150" spans="1:14" ht="13.5" hidden="1" customHeight="1">
      <c r="A150" s="701"/>
      <c r="B150" s="702"/>
      <c r="C150" s="703">
        <v>10500903</v>
      </c>
      <c r="D150" s="704" t="s">
        <v>568</v>
      </c>
      <c r="E150" s="705"/>
      <c r="F150" s="706"/>
      <c r="G150" s="615">
        <f t="shared" si="164"/>
        <v>0</v>
      </c>
      <c r="H150" s="713" t="str">
        <f t="shared" ref="H150:J150" si="168">IF(H$26="009車庫、工場建物",ROUND((H29+H29/(H$5-H$6)*H$6+H29/(H$5-H$6)*H$15)*$D$4,-3),"")</f>
        <v/>
      </c>
      <c r="I150" s="713" t="str">
        <f t="shared" si="168"/>
        <v/>
      </c>
      <c r="J150" s="713" t="str">
        <f t="shared" si="168"/>
        <v/>
      </c>
      <c r="K150" s="713" t="str">
        <f t="shared" si="166"/>
        <v/>
      </c>
      <c r="L150" s="713" t="str">
        <f t="shared" si="166"/>
        <v/>
      </c>
      <c r="M150" s="713" t="str">
        <f t="shared" ref="M150:N150" si="169">IF(M$26="009車庫、工場建物",ROUND((M29+M29/(M$5-M$6)*M$6+M29/(M$5-M$6)*M$15)*$D$4,-3),"")</f>
        <v/>
      </c>
      <c r="N150" s="713" t="str">
        <f t="shared" si="169"/>
        <v/>
      </c>
    </row>
    <row r="151" spans="1:14" ht="13.5" hidden="1" customHeight="1">
      <c r="A151" s="701"/>
      <c r="B151" s="702"/>
      <c r="C151" s="703">
        <v>10500904</v>
      </c>
      <c r="D151" s="704" t="s">
        <v>569</v>
      </c>
      <c r="E151" s="705"/>
      <c r="F151" s="706"/>
      <c r="G151" s="615">
        <f t="shared" si="164"/>
        <v>0</v>
      </c>
      <c r="H151" s="713" t="str">
        <f t="shared" ref="H151:J151" si="170">IF(H$26="009車庫、工場建物",ROUND((H30+H30/(H$5-H$6)*H$6+H30/(H$5-H$6)*H$15)*$D$4,-3),"")</f>
        <v/>
      </c>
      <c r="I151" s="713" t="str">
        <f t="shared" si="170"/>
        <v/>
      </c>
      <c r="J151" s="713" t="str">
        <f t="shared" si="170"/>
        <v/>
      </c>
      <c r="K151" s="713" t="str">
        <f t="shared" si="166"/>
        <v/>
      </c>
      <c r="L151" s="713" t="str">
        <f t="shared" si="166"/>
        <v/>
      </c>
      <c r="M151" s="713" t="str">
        <f t="shared" ref="M151:N151" si="171">IF(M$26="009車庫、工場建物",ROUND((M30+M30/(M$5-M$6)*M$6+M30/(M$5-M$6)*M$15)*$D$4,-3),"")</f>
        <v/>
      </c>
      <c r="N151" s="713" t="str">
        <f t="shared" si="171"/>
        <v/>
      </c>
    </row>
    <row r="152" spans="1:14" ht="13.5" hidden="1" customHeight="1">
      <c r="A152" s="701"/>
      <c r="B152" s="702"/>
      <c r="C152" s="703">
        <v>10500905</v>
      </c>
      <c r="D152" s="704" t="s">
        <v>570</v>
      </c>
      <c r="E152" s="705"/>
      <c r="F152" s="706"/>
      <c r="G152" s="615">
        <f t="shared" si="164"/>
        <v>0</v>
      </c>
      <c r="H152" s="713" t="str">
        <f t="shared" ref="H152:J152" si="172">IF(H$26="009車庫、工場建物",ROUND((H31+H31/(H$5-H$6)*H$6+H31/(H$5-H$6)*H$15)*$D$4,-3),"")</f>
        <v/>
      </c>
      <c r="I152" s="713" t="str">
        <f t="shared" si="172"/>
        <v/>
      </c>
      <c r="J152" s="713" t="str">
        <f t="shared" si="172"/>
        <v/>
      </c>
      <c r="K152" s="713" t="str">
        <f t="shared" si="166"/>
        <v/>
      </c>
      <c r="L152" s="713" t="str">
        <f t="shared" si="166"/>
        <v/>
      </c>
      <c r="M152" s="713" t="str">
        <f t="shared" ref="M152:N152" si="173">IF(M$26="009車庫、工場建物",ROUND((M31+M31/(M$5-M$6)*M$6+M31/(M$5-M$6)*M$15)*$D$4,-3),"")</f>
        <v/>
      </c>
      <c r="N152" s="713" t="str">
        <f t="shared" si="173"/>
        <v/>
      </c>
    </row>
    <row r="153" spans="1:14" ht="13.5" hidden="1" customHeight="1">
      <c r="A153" s="701"/>
      <c r="B153" s="702"/>
      <c r="C153" s="703">
        <v>10500906</v>
      </c>
      <c r="D153" s="704" t="s">
        <v>571</v>
      </c>
      <c r="E153" s="705"/>
      <c r="F153" s="706"/>
      <c r="G153" s="615">
        <f t="shared" si="164"/>
        <v>0</v>
      </c>
      <c r="H153" s="713" t="str">
        <f t="shared" ref="H153:J153" si="174">IF(H$26="009車庫、工場建物",ROUND((H32+H32/(H$5-H$6)*H$6+H32/(H$5-H$6)*H$15)*$D$4,-3),"")</f>
        <v/>
      </c>
      <c r="I153" s="713" t="str">
        <f t="shared" si="174"/>
        <v/>
      </c>
      <c r="J153" s="713" t="str">
        <f t="shared" si="174"/>
        <v/>
      </c>
      <c r="K153" s="713" t="str">
        <f t="shared" si="166"/>
        <v/>
      </c>
      <c r="L153" s="713" t="str">
        <f t="shared" si="166"/>
        <v/>
      </c>
      <c r="M153" s="713" t="str">
        <f t="shared" ref="M153:N153" si="175">IF(M$26="009車庫、工場建物",ROUND((M32+M32/(M$5-M$6)*M$6+M32/(M$5-M$6)*M$15)*$D$4,-3),"")</f>
        <v/>
      </c>
      <c r="N153" s="713" t="str">
        <f t="shared" si="175"/>
        <v/>
      </c>
    </row>
    <row r="154" spans="1:14" ht="13.5" hidden="1" customHeight="1">
      <c r="A154" s="701"/>
      <c r="B154" s="702"/>
      <c r="C154" s="703">
        <v>10500907</v>
      </c>
      <c r="D154" s="704" t="s">
        <v>572</v>
      </c>
      <c r="E154" s="705"/>
      <c r="F154" s="706"/>
      <c r="G154" s="615">
        <f t="shared" si="164"/>
        <v>0</v>
      </c>
      <c r="H154" s="713" t="str">
        <f t="shared" ref="H154:J154" si="176">IF(H$26="009車庫、工場建物",ROUND((H33+H33/(H$5-H$6)*H$6+H33/(H$5-H$6)*H$15)*$D$4,-3),"")</f>
        <v/>
      </c>
      <c r="I154" s="713" t="str">
        <f t="shared" si="176"/>
        <v/>
      </c>
      <c r="J154" s="713" t="str">
        <f t="shared" si="176"/>
        <v/>
      </c>
      <c r="K154" s="713" t="str">
        <f t="shared" si="166"/>
        <v/>
      </c>
      <c r="L154" s="713" t="str">
        <f t="shared" si="166"/>
        <v/>
      </c>
      <c r="M154" s="713" t="str">
        <f t="shared" ref="M154:N154" si="177">IF(M$26="009車庫、工場建物",ROUND((M33+M33/(M$5-M$6)*M$6+M33/(M$5-M$6)*M$15)*$D$4,-3),"")</f>
        <v/>
      </c>
      <c r="N154" s="713" t="str">
        <f t="shared" si="177"/>
        <v/>
      </c>
    </row>
    <row r="155" spans="1:14" ht="13.5" hidden="1" customHeight="1">
      <c r="A155" s="701"/>
      <c r="B155" s="702"/>
      <c r="C155" s="703">
        <v>10500908</v>
      </c>
      <c r="D155" s="704" t="s">
        <v>573</v>
      </c>
      <c r="E155" s="705"/>
      <c r="F155" s="706"/>
      <c r="G155" s="615">
        <f t="shared" si="164"/>
        <v>0</v>
      </c>
      <c r="H155" s="713" t="str">
        <f t="shared" ref="H155:J155" si="178">IF(H$26="009車庫、工場建物",ROUND((H34+H34/(H$5-H$6)*H$6+H34/(H$5-H$6)*H$15)*$D$4,-3),"")</f>
        <v/>
      </c>
      <c r="I155" s="713" t="str">
        <f t="shared" si="178"/>
        <v/>
      </c>
      <c r="J155" s="713" t="str">
        <f t="shared" si="178"/>
        <v/>
      </c>
      <c r="K155" s="713" t="str">
        <f t="shared" si="166"/>
        <v/>
      </c>
      <c r="L155" s="713" t="str">
        <f t="shared" si="166"/>
        <v/>
      </c>
      <c r="M155" s="713" t="str">
        <f t="shared" ref="M155:N155" si="179">IF(M$26="009車庫、工場建物",ROUND((M34+M34/(M$5-M$6)*M$6+M34/(M$5-M$6)*M$15)*$D$4,-3),"")</f>
        <v/>
      </c>
      <c r="N155" s="713" t="str">
        <f t="shared" si="179"/>
        <v/>
      </c>
    </row>
    <row r="156" spans="1:14" ht="13.5" hidden="1" customHeight="1">
      <c r="A156" s="701"/>
      <c r="B156" s="702"/>
      <c r="C156" s="703">
        <v>10500909</v>
      </c>
      <c r="D156" s="704" t="s">
        <v>574</v>
      </c>
      <c r="E156" s="705"/>
      <c r="F156" s="706"/>
      <c r="G156" s="615">
        <f t="shared" si="164"/>
        <v>0</v>
      </c>
      <c r="H156" s="713" t="str">
        <f t="shared" ref="H156:J156" si="180">IF(H$26="009車庫、工場建物",ROUND((H35+H35/(H$5-H$6)*H$6+H35/(H$5-H$6)*H$15)*$D$4,-3),"")</f>
        <v/>
      </c>
      <c r="I156" s="713" t="str">
        <f t="shared" si="180"/>
        <v/>
      </c>
      <c r="J156" s="713" t="str">
        <f t="shared" si="180"/>
        <v/>
      </c>
      <c r="K156" s="713" t="str">
        <f t="shared" si="166"/>
        <v/>
      </c>
      <c r="L156" s="713" t="str">
        <f t="shared" si="166"/>
        <v/>
      </c>
      <c r="M156" s="713" t="str">
        <f t="shared" ref="M156:N156" si="181">IF(M$26="009車庫、工場建物",ROUND((M35+M35/(M$5-M$6)*M$6+M35/(M$5-M$6)*M$15)*$D$4,-3),"")</f>
        <v/>
      </c>
      <c r="N156" s="713" t="str">
        <f t="shared" si="181"/>
        <v/>
      </c>
    </row>
    <row r="157" spans="1:14" ht="13.5" hidden="1" customHeight="1">
      <c r="A157" s="701"/>
      <c r="B157" s="702"/>
      <c r="C157" s="703">
        <v>10500910</v>
      </c>
      <c r="D157" s="704" t="s">
        <v>575</v>
      </c>
      <c r="E157" s="705"/>
      <c r="F157" s="706"/>
      <c r="G157" s="615">
        <f t="shared" si="164"/>
        <v>0</v>
      </c>
      <c r="H157" s="713" t="str">
        <f t="shared" ref="H157:J157" si="182">IF(H$26="009車庫、工場建物",ROUND((H36+H36/(H$5-H$6)*H$6+H36/(H$5-H$6)*H$15)*$D$4,-3),"")</f>
        <v/>
      </c>
      <c r="I157" s="713" t="str">
        <f t="shared" si="182"/>
        <v/>
      </c>
      <c r="J157" s="713" t="str">
        <f t="shared" si="182"/>
        <v/>
      </c>
      <c r="K157" s="713" t="str">
        <f t="shared" si="166"/>
        <v/>
      </c>
      <c r="L157" s="713" t="str">
        <f t="shared" si="166"/>
        <v/>
      </c>
      <c r="M157" s="713" t="str">
        <f t="shared" ref="M157:N157" si="183">IF(M$26="009車庫、工場建物",ROUND((M36+M36/(M$5-M$6)*M$6+M36/(M$5-M$6)*M$15)*$D$4,-3),"")</f>
        <v/>
      </c>
      <c r="N157" s="713" t="str">
        <f t="shared" si="183"/>
        <v/>
      </c>
    </row>
    <row r="158" spans="1:14" ht="13.5" hidden="1" customHeight="1">
      <c r="A158" s="701"/>
      <c r="B158" s="702"/>
      <c r="C158" s="703">
        <v>10500911</v>
      </c>
      <c r="D158" s="704" t="s">
        <v>576</v>
      </c>
      <c r="E158" s="705"/>
      <c r="F158" s="706"/>
      <c r="G158" s="615">
        <f t="shared" si="164"/>
        <v>0</v>
      </c>
      <c r="H158" s="713" t="str">
        <f t="shared" ref="H158:J158" si="184">IF(H$26="009車庫、工場建物",ROUND((H37+H37/(H$5-H$6)*H$6+H37/(H$5-H$6)*H$15)*$D$4,-3),"")</f>
        <v/>
      </c>
      <c r="I158" s="713" t="str">
        <f t="shared" si="184"/>
        <v/>
      </c>
      <c r="J158" s="713" t="str">
        <f t="shared" si="184"/>
        <v/>
      </c>
      <c r="K158" s="713" t="str">
        <f t="shared" si="166"/>
        <v/>
      </c>
      <c r="L158" s="713" t="str">
        <f t="shared" si="166"/>
        <v/>
      </c>
      <c r="M158" s="713" t="str">
        <f t="shared" ref="M158:N158" si="185">IF(M$26="009車庫、工場建物",ROUND((M37+M37/(M$5-M$6)*M$6+M37/(M$5-M$6)*M$15)*$D$4,-3),"")</f>
        <v/>
      </c>
      <c r="N158" s="713" t="str">
        <f t="shared" si="185"/>
        <v/>
      </c>
    </row>
    <row r="159" spans="1:14" ht="13.5" hidden="1" customHeight="1">
      <c r="A159" s="701"/>
      <c r="B159" s="702"/>
      <c r="C159" s="703">
        <v>10500912</v>
      </c>
      <c r="D159" s="704" t="s">
        <v>577</v>
      </c>
      <c r="E159" s="705"/>
      <c r="F159" s="706"/>
      <c r="G159" s="615">
        <f t="shared" si="164"/>
        <v>0</v>
      </c>
      <c r="H159" s="713" t="str">
        <f t="shared" ref="H159:J159" si="186">IF(H$26="009車庫、工場建物",ROUND((H38+H38/(H$5-H$6)*H$6+H38/(H$5-H$6)*H$15)*$D$4,-3),"")</f>
        <v/>
      </c>
      <c r="I159" s="713" t="str">
        <f t="shared" si="186"/>
        <v/>
      </c>
      <c r="J159" s="713" t="str">
        <f t="shared" si="186"/>
        <v/>
      </c>
      <c r="K159" s="713" t="str">
        <f t="shared" si="166"/>
        <v/>
      </c>
      <c r="L159" s="713" t="str">
        <f t="shared" si="166"/>
        <v/>
      </c>
      <c r="M159" s="713" t="str">
        <f t="shared" ref="M159:N159" si="187">IF(M$26="009車庫、工場建物",ROUND((M38+M38/(M$5-M$6)*M$6+M38/(M$5-M$6)*M$15)*$D$4,-3),"")</f>
        <v/>
      </c>
      <c r="N159" s="713" t="str">
        <f t="shared" si="187"/>
        <v/>
      </c>
    </row>
    <row r="160" spans="1:14" ht="13.5" hidden="1" customHeight="1">
      <c r="A160" s="701"/>
      <c r="B160" s="702"/>
      <c r="C160" s="703">
        <v>10500913</v>
      </c>
      <c r="D160" s="704" t="s">
        <v>578</v>
      </c>
      <c r="E160" s="705"/>
      <c r="F160" s="706"/>
      <c r="G160" s="615">
        <f t="shared" si="164"/>
        <v>0</v>
      </c>
      <c r="H160" s="713" t="str">
        <f t="shared" ref="H160:J160" si="188">IF(H$26="009車庫、工場建物",ROUND((H39+H39/(H$5-H$6)*H$6+H39/(H$5-H$6)*H$15)*$D$4,-3),"")</f>
        <v/>
      </c>
      <c r="I160" s="713" t="str">
        <f t="shared" si="188"/>
        <v/>
      </c>
      <c r="J160" s="713" t="str">
        <f t="shared" si="188"/>
        <v/>
      </c>
      <c r="K160" s="713" t="str">
        <f t="shared" si="166"/>
        <v/>
      </c>
      <c r="L160" s="713" t="str">
        <f t="shared" si="166"/>
        <v/>
      </c>
      <c r="M160" s="713" t="str">
        <f t="shared" ref="M160:N160" si="189">IF(M$26="009車庫、工場建物",ROUND((M39+M39/(M$5-M$6)*M$6+M39/(M$5-M$6)*M$15)*$D$4,-3),"")</f>
        <v/>
      </c>
      <c r="N160" s="713" t="str">
        <f t="shared" si="189"/>
        <v/>
      </c>
    </row>
    <row r="161" spans="1:14" ht="13.5" hidden="1" customHeight="1">
      <c r="A161" s="701"/>
      <c r="B161" s="702"/>
      <c r="C161" s="703">
        <v>10500914</v>
      </c>
      <c r="D161" s="704" t="s">
        <v>579</v>
      </c>
      <c r="E161" s="705"/>
      <c r="F161" s="706"/>
      <c r="G161" s="615">
        <f t="shared" si="164"/>
        <v>0</v>
      </c>
      <c r="H161" s="713" t="str">
        <f t="shared" ref="H161:J161" si="190">IF(H$26="009車庫、工場建物",ROUND((H40+H40/(H$5-H$6)*H$6+H40/(H$5-H$6)*H$15)*$D$4,-3),"")</f>
        <v/>
      </c>
      <c r="I161" s="713" t="str">
        <f t="shared" si="190"/>
        <v/>
      </c>
      <c r="J161" s="713" t="str">
        <f t="shared" si="190"/>
        <v/>
      </c>
      <c r="K161" s="713" t="str">
        <f t="shared" si="166"/>
        <v/>
      </c>
      <c r="L161" s="713" t="str">
        <f t="shared" si="166"/>
        <v/>
      </c>
      <c r="M161" s="713" t="str">
        <f t="shared" ref="M161:N161" si="191">IF(M$26="009車庫、工場建物",ROUND((M40+M40/(M$5-M$6)*M$6+M40/(M$5-M$6)*M$15)*$D$4,-3),"")</f>
        <v/>
      </c>
      <c r="N161" s="713" t="str">
        <f t="shared" si="191"/>
        <v/>
      </c>
    </row>
    <row r="162" spans="1:14" ht="13.5" hidden="1" customHeight="1">
      <c r="A162" s="701"/>
      <c r="B162" s="702"/>
      <c r="C162" s="703">
        <v>10500915</v>
      </c>
      <c r="D162" s="704" t="s">
        <v>580</v>
      </c>
      <c r="E162" s="705"/>
      <c r="F162" s="706"/>
      <c r="G162" s="615">
        <f t="shared" si="164"/>
        <v>0</v>
      </c>
      <c r="H162" s="713" t="str">
        <f t="shared" ref="H162:J162" si="192">IF(H$26="009車庫、工場建物",ROUND((H41+H41/(H$5-H$6)*H$6+H41/(H$5-H$6)*H$15)*$D$4,-3),"")</f>
        <v/>
      </c>
      <c r="I162" s="713" t="str">
        <f t="shared" si="192"/>
        <v/>
      </c>
      <c r="J162" s="713" t="str">
        <f t="shared" si="192"/>
        <v/>
      </c>
      <c r="K162" s="713" t="str">
        <f t="shared" si="166"/>
        <v/>
      </c>
      <c r="L162" s="713" t="str">
        <f t="shared" si="166"/>
        <v/>
      </c>
      <c r="M162" s="713" t="str">
        <f t="shared" ref="M162:N162" si="193">IF(M$26="009車庫、工場建物",ROUND((M41+M41/(M$5-M$6)*M$6+M41/(M$5-M$6)*M$15)*$D$4,-3),"")</f>
        <v/>
      </c>
      <c r="N162" s="713" t="str">
        <f t="shared" si="193"/>
        <v/>
      </c>
    </row>
    <row r="163" spans="1:14" ht="13.5" hidden="1" customHeight="1">
      <c r="A163" s="701"/>
      <c r="B163" s="702"/>
      <c r="C163" s="703">
        <v>10500916</v>
      </c>
      <c r="D163" s="704" t="s">
        <v>581</v>
      </c>
      <c r="E163" s="705"/>
      <c r="F163" s="706"/>
      <c r="G163" s="615">
        <f t="shared" si="164"/>
        <v>0</v>
      </c>
      <c r="H163" s="713" t="str">
        <f t="shared" ref="H163:J163" si="194">IF(H$26="009車庫、工場建物",ROUND((H42+H42/(H$5-H$6)*H$6+H42/(H$5-H$6)*H$15)*$D$4,-3),"")</f>
        <v/>
      </c>
      <c r="I163" s="713" t="str">
        <f t="shared" si="194"/>
        <v/>
      </c>
      <c r="J163" s="713" t="str">
        <f t="shared" si="194"/>
        <v/>
      </c>
      <c r="K163" s="713" t="str">
        <f t="shared" si="166"/>
        <v/>
      </c>
      <c r="L163" s="713" t="str">
        <f t="shared" si="166"/>
        <v/>
      </c>
      <c r="M163" s="713" t="str">
        <f t="shared" ref="M163:N163" si="195">IF(M$26="009車庫、工場建物",ROUND((M42+M42/(M$5-M$6)*M$6+M42/(M$5-M$6)*M$15)*$D$4,-3),"")</f>
        <v/>
      </c>
      <c r="N163" s="713" t="str">
        <f t="shared" si="195"/>
        <v/>
      </c>
    </row>
    <row r="164" spans="1:14" ht="13.5" hidden="1" customHeight="1">
      <c r="A164" s="701"/>
      <c r="B164" s="702"/>
      <c r="C164" s="703">
        <v>10500917</v>
      </c>
      <c r="D164" s="704" t="s">
        <v>582</v>
      </c>
      <c r="E164" s="705"/>
      <c r="F164" s="706"/>
      <c r="G164" s="615">
        <f t="shared" si="164"/>
        <v>0</v>
      </c>
      <c r="H164" s="713" t="str">
        <f t="shared" ref="H164:J164" si="196">IF(H$26="009車庫、工場建物",ROUND((H43+H43/(H$5-H$6)*H$6+H43/(H$5-H$6)*H$15)*$D$4,-3),"")</f>
        <v/>
      </c>
      <c r="I164" s="713" t="str">
        <f t="shared" si="196"/>
        <v/>
      </c>
      <c r="J164" s="713" t="str">
        <f t="shared" si="196"/>
        <v/>
      </c>
      <c r="K164" s="713" t="str">
        <f t="shared" si="166"/>
        <v/>
      </c>
      <c r="L164" s="713" t="str">
        <f t="shared" si="166"/>
        <v/>
      </c>
      <c r="M164" s="713" t="str">
        <f t="shared" ref="M164:N164" si="197">IF(M$26="009車庫、工場建物",ROUND((M43+M43/(M$5-M$6)*M$6+M43/(M$5-M$6)*M$15)*$D$4,-3),"")</f>
        <v/>
      </c>
      <c r="N164" s="713" t="str">
        <f t="shared" si="197"/>
        <v/>
      </c>
    </row>
    <row r="165" spans="1:14" ht="13.5" hidden="1" customHeight="1">
      <c r="A165" s="701"/>
      <c r="B165" s="702"/>
      <c r="C165" s="703">
        <v>10500918</v>
      </c>
      <c r="D165" s="704" t="s">
        <v>583</v>
      </c>
      <c r="E165" s="705"/>
      <c r="F165" s="706"/>
      <c r="G165" s="615">
        <f t="shared" si="164"/>
        <v>0</v>
      </c>
      <c r="H165" s="713" t="str">
        <f t="shared" ref="H165:J165" si="198">IF(H$26="009車庫、工場建物",ROUND((H44+H44/(H$5-H$6)*H$6+H44/(H$5-H$6)*H$15)*$D$4,-3),"")</f>
        <v/>
      </c>
      <c r="I165" s="713" t="str">
        <f t="shared" si="198"/>
        <v/>
      </c>
      <c r="J165" s="713" t="str">
        <f t="shared" si="198"/>
        <v/>
      </c>
      <c r="K165" s="713" t="str">
        <f t="shared" si="166"/>
        <v/>
      </c>
      <c r="L165" s="713" t="str">
        <f t="shared" si="166"/>
        <v/>
      </c>
      <c r="M165" s="713" t="str">
        <f t="shared" ref="M165:N165" si="199">IF(M$26="009車庫、工場建物",ROUND((M44+M44/(M$5-M$6)*M$6+M44/(M$5-M$6)*M$15)*$D$4,-3),"")</f>
        <v/>
      </c>
      <c r="N165" s="713" t="str">
        <f t="shared" si="199"/>
        <v/>
      </c>
    </row>
    <row r="166" spans="1:14" ht="13.5" hidden="1" customHeight="1">
      <c r="A166" s="701"/>
      <c r="B166" s="702"/>
      <c r="C166" s="703">
        <v>10500919</v>
      </c>
      <c r="D166" s="704" t="s">
        <v>584</v>
      </c>
      <c r="E166" s="705"/>
      <c r="F166" s="706"/>
      <c r="G166" s="615">
        <f t="shared" si="164"/>
        <v>0</v>
      </c>
      <c r="H166" s="713" t="str">
        <f t="shared" ref="H166:J166" si="200">IF(H$26="009車庫、工場建物",ROUND((H45+H45/(H$5-H$6)*H$6+H45/(H$5-H$6)*H$15)*$D$4,-3),"")</f>
        <v/>
      </c>
      <c r="I166" s="713" t="str">
        <f t="shared" si="200"/>
        <v/>
      </c>
      <c r="J166" s="713" t="str">
        <f t="shared" si="200"/>
        <v/>
      </c>
      <c r="K166" s="713" t="str">
        <f t="shared" si="166"/>
        <v/>
      </c>
      <c r="L166" s="713" t="str">
        <f t="shared" si="166"/>
        <v/>
      </c>
      <c r="M166" s="713" t="str">
        <f t="shared" ref="M166:N166" si="201">IF(M$26="009車庫、工場建物",ROUND((M45+M45/(M$5-M$6)*M$6+M45/(M$5-M$6)*M$15)*$D$4,-3),"")</f>
        <v/>
      </c>
      <c r="N166" s="713" t="str">
        <f t="shared" si="201"/>
        <v/>
      </c>
    </row>
    <row r="167" spans="1:14" ht="13.5" hidden="1" customHeight="1">
      <c r="A167" s="701"/>
      <c r="B167" s="702"/>
      <c r="C167" s="703">
        <v>10500920</v>
      </c>
      <c r="D167" s="704" t="s">
        <v>585</v>
      </c>
      <c r="E167" s="705"/>
      <c r="F167" s="706"/>
      <c r="G167" s="615">
        <f t="shared" si="164"/>
        <v>0</v>
      </c>
      <c r="H167" s="713" t="str">
        <f t="shared" ref="H167:J167" si="202">IF(H$26="009車庫、工場建物",ROUND((H46+H46/(H$5-H$6)*H$6+H46/(H$5-H$6)*H$15)*$D$4,-3),"")</f>
        <v/>
      </c>
      <c r="I167" s="713" t="str">
        <f t="shared" si="202"/>
        <v/>
      </c>
      <c r="J167" s="713" t="str">
        <f t="shared" si="202"/>
        <v/>
      </c>
      <c r="K167" s="713" t="str">
        <f t="shared" si="166"/>
        <v/>
      </c>
      <c r="L167" s="713" t="str">
        <f t="shared" si="166"/>
        <v/>
      </c>
      <c r="M167" s="713" t="str">
        <f t="shared" ref="M167:N167" si="203">IF(M$26="009車庫、工場建物",ROUND((M46+M46/(M$5-M$6)*M$6+M46/(M$5-M$6)*M$15)*$D$4,-3),"")</f>
        <v/>
      </c>
      <c r="N167" s="713" t="str">
        <f t="shared" si="203"/>
        <v/>
      </c>
    </row>
    <row r="168" spans="1:14" ht="13.5" hidden="1" customHeight="1">
      <c r="A168" s="701"/>
      <c r="B168" s="702"/>
      <c r="C168" s="703">
        <v>10500921</v>
      </c>
      <c r="D168" s="704" t="s">
        <v>586</v>
      </c>
      <c r="E168" s="705"/>
      <c r="F168" s="706"/>
      <c r="G168" s="615">
        <f t="shared" si="164"/>
        <v>0</v>
      </c>
      <c r="H168" s="713" t="str">
        <f t="shared" ref="H168:J168" si="204">IF(H$26="009車庫、工場建物",ROUND((H47+H47/(H$5-H$6)*H$6+H47/(H$5-H$6)*H$15)*$D$4,-3),"")</f>
        <v/>
      </c>
      <c r="I168" s="713" t="str">
        <f t="shared" si="204"/>
        <v/>
      </c>
      <c r="J168" s="713" t="str">
        <f t="shared" si="204"/>
        <v/>
      </c>
      <c r="K168" s="713" t="str">
        <f t="shared" si="166"/>
        <v/>
      </c>
      <c r="L168" s="713" t="str">
        <f t="shared" si="166"/>
        <v/>
      </c>
      <c r="M168" s="713" t="str">
        <f t="shared" ref="M168:N168" si="205">IF(M$26="009車庫、工場建物",ROUND((M47+M47/(M$5-M$6)*M$6+M47/(M$5-M$6)*M$15)*$D$4,-3),"")</f>
        <v/>
      </c>
      <c r="N168" s="713" t="str">
        <f t="shared" si="205"/>
        <v/>
      </c>
    </row>
    <row r="169" spans="1:14" ht="13.5" hidden="1" customHeight="1">
      <c r="A169" s="701"/>
      <c r="B169" s="702"/>
      <c r="C169" s="703">
        <v>10500922</v>
      </c>
      <c r="D169" s="704" t="s">
        <v>587</v>
      </c>
      <c r="E169" s="705"/>
      <c r="F169" s="706"/>
      <c r="G169" s="615">
        <f t="shared" si="164"/>
        <v>0</v>
      </c>
      <c r="H169" s="713" t="str">
        <f t="shared" ref="H169:J169" si="206">IF(H$26="009車庫、工場建物",ROUND((H48+H48/(H$5-H$6)*H$6+H48/(H$5-H$6)*H$15)*$D$4,-3),"")</f>
        <v/>
      </c>
      <c r="I169" s="713" t="str">
        <f t="shared" si="206"/>
        <v/>
      </c>
      <c r="J169" s="713" t="str">
        <f t="shared" si="206"/>
        <v/>
      </c>
      <c r="K169" s="713" t="str">
        <f t="shared" si="166"/>
        <v/>
      </c>
      <c r="L169" s="713" t="str">
        <f t="shared" si="166"/>
        <v/>
      </c>
      <c r="M169" s="713" t="str">
        <f t="shared" ref="M169:N169" si="207">IF(M$26="009車庫、工場建物",ROUND((M48+M48/(M$5-M$6)*M$6+M48/(M$5-M$6)*M$15)*$D$4,-3),"")</f>
        <v/>
      </c>
      <c r="N169" s="713" t="str">
        <f t="shared" si="207"/>
        <v/>
      </c>
    </row>
    <row r="170" spans="1:14" ht="13.5" hidden="1" customHeight="1">
      <c r="A170" s="701"/>
      <c r="B170" s="702"/>
      <c r="C170" s="703">
        <v>10500923</v>
      </c>
      <c r="D170" s="704" t="s">
        <v>588</v>
      </c>
      <c r="E170" s="705"/>
      <c r="F170" s="706"/>
      <c r="G170" s="615">
        <f t="shared" si="164"/>
        <v>0</v>
      </c>
      <c r="H170" s="713" t="str">
        <f t="shared" ref="H170:J170" si="208">IF(H$26="009車庫、工場建物",ROUND((H49+H49/(H$5-H$6)*H$6+H49/(H$5-H$6)*H$15)*$D$4,-3),"")</f>
        <v/>
      </c>
      <c r="I170" s="713" t="str">
        <f t="shared" si="208"/>
        <v/>
      </c>
      <c r="J170" s="713" t="str">
        <f t="shared" si="208"/>
        <v/>
      </c>
      <c r="K170" s="713" t="str">
        <f t="shared" si="166"/>
        <v/>
      </c>
      <c r="L170" s="713" t="str">
        <f t="shared" si="166"/>
        <v/>
      </c>
      <c r="M170" s="713" t="str">
        <f t="shared" ref="M170:N170" si="209">IF(M$26="009車庫、工場建物",ROUND((M49+M49/(M$5-M$6)*M$6+M49/(M$5-M$6)*M$15)*$D$4,-3),"")</f>
        <v/>
      </c>
      <c r="N170" s="713" t="str">
        <f t="shared" si="209"/>
        <v/>
      </c>
    </row>
    <row r="171" spans="1:14" ht="13.5" hidden="1" customHeight="1">
      <c r="A171" s="701"/>
      <c r="B171" s="702"/>
      <c r="C171" s="703">
        <v>10500924</v>
      </c>
      <c r="D171" s="704" t="s">
        <v>589</v>
      </c>
      <c r="E171" s="705"/>
      <c r="F171" s="706"/>
      <c r="G171" s="615">
        <f t="shared" si="164"/>
        <v>0</v>
      </c>
      <c r="H171" s="713" t="str">
        <f t="shared" ref="H171:J171" si="210">IF(H$26="009車庫、工場建物",ROUND((H50+H50/(H$5-H$6)*H$6+H50/(H$5-H$6)*H$15)*$D$4,-3),"")</f>
        <v/>
      </c>
      <c r="I171" s="713" t="str">
        <f t="shared" si="210"/>
        <v/>
      </c>
      <c r="J171" s="713" t="str">
        <f t="shared" si="210"/>
        <v/>
      </c>
      <c r="K171" s="713" t="str">
        <f t="shared" si="166"/>
        <v/>
      </c>
      <c r="L171" s="713" t="str">
        <f t="shared" si="166"/>
        <v/>
      </c>
      <c r="M171" s="713" t="str">
        <f t="shared" ref="M171:N171" si="211">IF(M$26="009車庫、工場建物",ROUND((M50+M50/(M$5-M$6)*M$6+M50/(M$5-M$6)*M$15)*$D$4,-3),"")</f>
        <v/>
      </c>
      <c r="N171" s="713" t="str">
        <f t="shared" si="211"/>
        <v/>
      </c>
    </row>
    <row r="172" spans="1:14" ht="13.5" hidden="1" customHeight="1">
      <c r="A172" s="701"/>
      <c r="B172" s="702"/>
      <c r="C172" s="703">
        <v>10500925</v>
      </c>
      <c r="D172" s="704" t="s">
        <v>590</v>
      </c>
      <c r="E172" s="705"/>
      <c r="F172" s="706"/>
      <c r="G172" s="615">
        <f t="shared" si="164"/>
        <v>0</v>
      </c>
      <c r="H172" s="713" t="str">
        <f t="shared" ref="H172:J172" si="212">IF(H$26="009車庫、工場建物",ROUND((H51+H51/(H$5-H$6)*H$6+H51/(H$5-H$6)*H$15)*$D$4,-3),"")</f>
        <v/>
      </c>
      <c r="I172" s="713" t="str">
        <f t="shared" si="212"/>
        <v/>
      </c>
      <c r="J172" s="713" t="str">
        <f t="shared" si="212"/>
        <v/>
      </c>
      <c r="K172" s="713" t="str">
        <f t="shared" si="166"/>
        <v/>
      </c>
      <c r="L172" s="713" t="str">
        <f t="shared" si="166"/>
        <v/>
      </c>
      <c r="M172" s="713" t="str">
        <f t="shared" ref="M172:N172" si="213">IF(M$26="009車庫、工場建物",ROUND((M51+M51/(M$5-M$6)*M$6+M51/(M$5-M$6)*M$15)*$D$4,-3),"")</f>
        <v/>
      </c>
      <c r="N172" s="713" t="str">
        <f t="shared" si="213"/>
        <v/>
      </c>
    </row>
    <row r="173" spans="1:14" ht="13.5" hidden="1" customHeight="1">
      <c r="A173" s="701"/>
      <c r="B173" s="702"/>
      <c r="C173" s="708"/>
      <c r="D173" s="709"/>
      <c r="E173" s="710"/>
      <c r="F173" s="623"/>
      <c r="G173" s="615">
        <f t="shared" si="164"/>
        <v>0</v>
      </c>
      <c r="H173" s="712"/>
      <c r="I173" s="712"/>
      <c r="J173" s="712"/>
      <c r="K173" s="712"/>
      <c r="L173" s="712"/>
      <c r="M173" s="712"/>
      <c r="N173" s="712"/>
    </row>
    <row r="174" spans="1:14" ht="13.5" hidden="1" customHeight="1">
      <c r="A174" s="701"/>
      <c r="B174" s="539"/>
      <c r="C174" s="703">
        <v>10501001</v>
      </c>
      <c r="D174" s="704" t="s">
        <v>591</v>
      </c>
      <c r="E174" s="705"/>
      <c r="F174" s="706"/>
      <c r="G174" s="615">
        <f t="shared" si="164"/>
        <v>0</v>
      </c>
      <c r="H174" s="713" t="str">
        <f t="shared" ref="H174:M174" si="214">IF(H$26="010倉庫建物",ROUND((H27+H27/(H$5-H$6)*H$6+H27/(H$5-H$6)*H$15)*$D$4,-3),"")</f>
        <v/>
      </c>
      <c r="I174" s="713" t="str">
        <f t="shared" si="214"/>
        <v/>
      </c>
      <c r="J174" s="713" t="str">
        <f t="shared" si="214"/>
        <v/>
      </c>
      <c r="K174" s="713" t="str">
        <f t="shared" si="214"/>
        <v/>
      </c>
      <c r="L174" s="713" t="str">
        <f t="shared" si="214"/>
        <v/>
      </c>
      <c r="M174" s="713" t="str">
        <f t="shared" si="214"/>
        <v/>
      </c>
      <c r="N174" s="713" t="str">
        <f t="shared" ref="N174" si="215">IF(N$26="010倉庫建物",ROUND((N27+N27/(N$5-N$6)*N$6+N27/(N$5-N$6)*N$15)*$D$4,-3),"")</f>
        <v/>
      </c>
    </row>
    <row r="175" spans="1:14" ht="13.5" hidden="1" customHeight="1">
      <c r="A175" s="701"/>
      <c r="C175" s="703">
        <v>10501002</v>
      </c>
      <c r="D175" s="704" t="s">
        <v>592</v>
      </c>
      <c r="E175" s="705"/>
      <c r="F175" s="706"/>
      <c r="G175" s="615">
        <f t="shared" si="164"/>
        <v>0</v>
      </c>
      <c r="H175" s="713" t="str">
        <f t="shared" ref="H175:J175" si="216">IF(H$26="010倉庫建物",ROUND((H28+H28/(H$5-H$6)*H$6+H28/(H$5-H$6)*H$15)*$D$4,-3),"")</f>
        <v/>
      </c>
      <c r="I175" s="713" t="str">
        <f t="shared" si="216"/>
        <v/>
      </c>
      <c r="J175" s="713" t="str">
        <f t="shared" si="216"/>
        <v/>
      </c>
      <c r="K175" s="713" t="str">
        <f t="shared" ref="K175:L198" si="217">IF(K$26="010倉庫建物",ROUND((K28+K28/(K$5-K$6)*K$6+K28/(K$5-K$6)*K$15)*$D$4,-3),"")</f>
        <v/>
      </c>
      <c r="L175" s="713" t="str">
        <f t="shared" si="217"/>
        <v/>
      </c>
      <c r="M175" s="713" t="str">
        <f t="shared" ref="M175:N175" si="218">IF(M$26="010倉庫建物",ROUND((M28+M28/(M$5-M$6)*M$6+M28/(M$5-M$6)*M$15)*$D$4,-3),"")</f>
        <v/>
      </c>
      <c r="N175" s="713" t="str">
        <f t="shared" si="218"/>
        <v/>
      </c>
    </row>
    <row r="176" spans="1:14" ht="13.5" hidden="1" customHeight="1">
      <c r="A176" s="701"/>
      <c r="C176" s="703">
        <v>10501003</v>
      </c>
      <c r="D176" s="704" t="s">
        <v>593</v>
      </c>
      <c r="E176" s="705"/>
      <c r="F176" s="706"/>
      <c r="G176" s="615">
        <f t="shared" si="164"/>
        <v>0</v>
      </c>
      <c r="H176" s="713" t="str">
        <f t="shared" ref="H176:J176" si="219">IF(H$26="010倉庫建物",ROUND((H29+H29/(H$5-H$6)*H$6+H29/(H$5-H$6)*H$15)*$D$4,-3),"")</f>
        <v/>
      </c>
      <c r="I176" s="713" t="str">
        <f t="shared" si="219"/>
        <v/>
      </c>
      <c r="J176" s="713" t="str">
        <f t="shared" si="219"/>
        <v/>
      </c>
      <c r="K176" s="713" t="str">
        <f t="shared" si="217"/>
        <v/>
      </c>
      <c r="L176" s="713" t="str">
        <f t="shared" si="217"/>
        <v/>
      </c>
      <c r="M176" s="713" t="str">
        <f t="shared" ref="M176:N176" si="220">IF(M$26="010倉庫建物",ROUND((M29+M29/(M$5-M$6)*M$6+M29/(M$5-M$6)*M$15)*$D$4,-3),"")</f>
        <v/>
      </c>
      <c r="N176" s="713" t="str">
        <f t="shared" si="220"/>
        <v/>
      </c>
    </row>
    <row r="177" spans="1:14" ht="13.5" hidden="1" customHeight="1">
      <c r="A177" s="701"/>
      <c r="C177" s="703">
        <v>10501004</v>
      </c>
      <c r="D177" s="704" t="s">
        <v>594</v>
      </c>
      <c r="E177" s="705"/>
      <c r="F177" s="706"/>
      <c r="G177" s="615">
        <f t="shared" si="164"/>
        <v>0</v>
      </c>
      <c r="H177" s="713" t="str">
        <f t="shared" ref="H177:J177" si="221">IF(H$26="010倉庫建物",ROUND((H30+H30/(H$5-H$6)*H$6+H30/(H$5-H$6)*H$15)*$D$4,-3),"")</f>
        <v/>
      </c>
      <c r="I177" s="713" t="str">
        <f t="shared" si="221"/>
        <v/>
      </c>
      <c r="J177" s="713" t="str">
        <f t="shared" si="221"/>
        <v/>
      </c>
      <c r="K177" s="713" t="str">
        <f t="shared" si="217"/>
        <v/>
      </c>
      <c r="L177" s="713" t="str">
        <f t="shared" si="217"/>
        <v/>
      </c>
      <c r="M177" s="713" t="str">
        <f t="shared" ref="M177:N177" si="222">IF(M$26="010倉庫建物",ROUND((M30+M30/(M$5-M$6)*M$6+M30/(M$5-M$6)*M$15)*$D$4,-3),"")</f>
        <v/>
      </c>
      <c r="N177" s="713" t="str">
        <f t="shared" si="222"/>
        <v/>
      </c>
    </row>
    <row r="178" spans="1:14" ht="13.5" hidden="1" customHeight="1">
      <c r="A178" s="701"/>
      <c r="C178" s="703">
        <v>10501005</v>
      </c>
      <c r="D178" s="704" t="s">
        <v>595</v>
      </c>
      <c r="E178" s="705"/>
      <c r="F178" s="706"/>
      <c r="G178" s="615">
        <f t="shared" si="164"/>
        <v>0</v>
      </c>
      <c r="H178" s="713" t="str">
        <f t="shared" ref="H178:J178" si="223">IF(H$26="010倉庫建物",ROUND((H31+H31/(H$5-H$6)*H$6+H31/(H$5-H$6)*H$15)*$D$4,-3),"")</f>
        <v/>
      </c>
      <c r="I178" s="713" t="str">
        <f t="shared" si="223"/>
        <v/>
      </c>
      <c r="J178" s="713" t="str">
        <f t="shared" si="223"/>
        <v/>
      </c>
      <c r="K178" s="713" t="str">
        <f t="shared" si="217"/>
        <v/>
      </c>
      <c r="L178" s="713" t="str">
        <f t="shared" si="217"/>
        <v/>
      </c>
      <c r="M178" s="713" t="str">
        <f t="shared" ref="M178:N178" si="224">IF(M$26="010倉庫建物",ROUND((M31+M31/(M$5-M$6)*M$6+M31/(M$5-M$6)*M$15)*$D$4,-3),"")</f>
        <v/>
      </c>
      <c r="N178" s="713" t="str">
        <f t="shared" si="224"/>
        <v/>
      </c>
    </row>
    <row r="179" spans="1:14" ht="13.5" hidden="1" customHeight="1">
      <c r="A179" s="701"/>
      <c r="C179" s="703">
        <v>10501006</v>
      </c>
      <c r="D179" s="704" t="s">
        <v>596</v>
      </c>
      <c r="E179" s="705"/>
      <c r="F179" s="706"/>
      <c r="G179" s="615">
        <f t="shared" si="164"/>
        <v>0</v>
      </c>
      <c r="H179" s="713" t="str">
        <f t="shared" ref="H179:J179" si="225">IF(H$26="010倉庫建物",ROUND((H32+H32/(H$5-H$6)*H$6+H32/(H$5-H$6)*H$15)*$D$4,-3),"")</f>
        <v/>
      </c>
      <c r="I179" s="713" t="str">
        <f t="shared" si="225"/>
        <v/>
      </c>
      <c r="J179" s="713" t="str">
        <f t="shared" si="225"/>
        <v/>
      </c>
      <c r="K179" s="713" t="str">
        <f t="shared" si="217"/>
        <v/>
      </c>
      <c r="L179" s="713" t="str">
        <f t="shared" si="217"/>
        <v/>
      </c>
      <c r="M179" s="713" t="str">
        <f t="shared" ref="M179:N179" si="226">IF(M$26="010倉庫建物",ROUND((M32+M32/(M$5-M$6)*M$6+M32/(M$5-M$6)*M$15)*$D$4,-3),"")</f>
        <v/>
      </c>
      <c r="N179" s="713" t="str">
        <f t="shared" si="226"/>
        <v/>
      </c>
    </row>
    <row r="180" spans="1:14" ht="13.5" hidden="1" customHeight="1">
      <c r="A180" s="701"/>
      <c r="C180" s="703">
        <v>10501007</v>
      </c>
      <c r="D180" s="704" t="s">
        <v>597</v>
      </c>
      <c r="E180" s="705"/>
      <c r="F180" s="706"/>
      <c r="G180" s="615">
        <f t="shared" si="164"/>
        <v>0</v>
      </c>
      <c r="H180" s="713" t="str">
        <f t="shared" ref="H180:J180" si="227">IF(H$26="010倉庫建物",ROUND((H33+H33/(H$5-H$6)*H$6+H33/(H$5-H$6)*H$15)*$D$4,-3),"")</f>
        <v/>
      </c>
      <c r="I180" s="713" t="str">
        <f t="shared" si="227"/>
        <v/>
      </c>
      <c r="J180" s="713" t="str">
        <f t="shared" si="227"/>
        <v/>
      </c>
      <c r="K180" s="713" t="str">
        <f t="shared" si="217"/>
        <v/>
      </c>
      <c r="L180" s="713" t="str">
        <f t="shared" si="217"/>
        <v/>
      </c>
      <c r="M180" s="713" t="str">
        <f t="shared" ref="M180:N180" si="228">IF(M$26="010倉庫建物",ROUND((M33+M33/(M$5-M$6)*M$6+M33/(M$5-M$6)*M$15)*$D$4,-3),"")</f>
        <v/>
      </c>
      <c r="N180" s="713" t="str">
        <f t="shared" si="228"/>
        <v/>
      </c>
    </row>
    <row r="181" spans="1:14" ht="13.5" hidden="1" customHeight="1">
      <c r="A181" s="701"/>
      <c r="C181" s="703">
        <v>10501008</v>
      </c>
      <c r="D181" s="704" t="s">
        <v>598</v>
      </c>
      <c r="E181" s="705"/>
      <c r="F181" s="706"/>
      <c r="G181" s="615">
        <f t="shared" si="164"/>
        <v>0</v>
      </c>
      <c r="H181" s="713" t="str">
        <f t="shared" ref="H181:J181" si="229">IF(H$26="010倉庫建物",ROUND((H34+H34/(H$5-H$6)*H$6+H34/(H$5-H$6)*H$15)*$D$4,-3),"")</f>
        <v/>
      </c>
      <c r="I181" s="713" t="str">
        <f t="shared" si="229"/>
        <v/>
      </c>
      <c r="J181" s="713" t="str">
        <f t="shared" si="229"/>
        <v/>
      </c>
      <c r="K181" s="713" t="str">
        <f t="shared" si="217"/>
        <v/>
      </c>
      <c r="L181" s="713" t="str">
        <f t="shared" si="217"/>
        <v/>
      </c>
      <c r="M181" s="713" t="str">
        <f t="shared" ref="M181:N181" si="230">IF(M$26="010倉庫建物",ROUND((M34+M34/(M$5-M$6)*M$6+M34/(M$5-M$6)*M$15)*$D$4,-3),"")</f>
        <v/>
      </c>
      <c r="N181" s="713" t="str">
        <f t="shared" si="230"/>
        <v/>
      </c>
    </row>
    <row r="182" spans="1:14" ht="13.5" hidden="1" customHeight="1">
      <c r="A182" s="701"/>
      <c r="C182" s="703">
        <v>10501009</v>
      </c>
      <c r="D182" s="704" t="s">
        <v>599</v>
      </c>
      <c r="E182" s="705"/>
      <c r="F182" s="706"/>
      <c r="G182" s="615">
        <f t="shared" si="164"/>
        <v>0</v>
      </c>
      <c r="H182" s="713" t="str">
        <f t="shared" ref="H182:J182" si="231">IF(H$26="010倉庫建物",ROUND((H35+H35/(H$5-H$6)*H$6+H35/(H$5-H$6)*H$15)*$D$4,-3),"")</f>
        <v/>
      </c>
      <c r="I182" s="713" t="str">
        <f t="shared" si="231"/>
        <v/>
      </c>
      <c r="J182" s="713" t="str">
        <f t="shared" si="231"/>
        <v/>
      </c>
      <c r="K182" s="713" t="str">
        <f t="shared" si="217"/>
        <v/>
      </c>
      <c r="L182" s="713" t="str">
        <f t="shared" si="217"/>
        <v/>
      </c>
      <c r="M182" s="713" t="str">
        <f t="shared" ref="M182:N182" si="232">IF(M$26="010倉庫建物",ROUND((M35+M35/(M$5-M$6)*M$6+M35/(M$5-M$6)*M$15)*$D$4,-3),"")</f>
        <v/>
      </c>
      <c r="N182" s="713" t="str">
        <f t="shared" si="232"/>
        <v/>
      </c>
    </row>
    <row r="183" spans="1:14" ht="13.5" hidden="1" customHeight="1">
      <c r="A183" s="701"/>
      <c r="C183" s="703">
        <v>10501010</v>
      </c>
      <c r="D183" s="704" t="s">
        <v>600</v>
      </c>
      <c r="E183" s="705"/>
      <c r="F183" s="706"/>
      <c r="G183" s="615">
        <f t="shared" si="164"/>
        <v>0</v>
      </c>
      <c r="H183" s="713" t="str">
        <f t="shared" ref="H183:J183" si="233">IF(H$26="010倉庫建物",ROUND((H36+H36/(H$5-H$6)*H$6+H36/(H$5-H$6)*H$15)*$D$4,-3),"")</f>
        <v/>
      </c>
      <c r="I183" s="713" t="str">
        <f t="shared" si="233"/>
        <v/>
      </c>
      <c r="J183" s="713" t="str">
        <f t="shared" si="233"/>
        <v/>
      </c>
      <c r="K183" s="713" t="str">
        <f t="shared" si="217"/>
        <v/>
      </c>
      <c r="L183" s="713" t="str">
        <f t="shared" si="217"/>
        <v/>
      </c>
      <c r="M183" s="713" t="str">
        <f t="shared" ref="M183:N183" si="234">IF(M$26="010倉庫建物",ROUND((M36+M36/(M$5-M$6)*M$6+M36/(M$5-M$6)*M$15)*$D$4,-3),"")</f>
        <v/>
      </c>
      <c r="N183" s="713" t="str">
        <f t="shared" si="234"/>
        <v/>
      </c>
    </row>
    <row r="184" spans="1:14" ht="13.5" hidden="1" customHeight="1">
      <c r="A184" s="701"/>
      <c r="C184" s="703">
        <v>10501011</v>
      </c>
      <c r="D184" s="704" t="s">
        <v>601</v>
      </c>
      <c r="E184" s="705"/>
      <c r="F184" s="706"/>
      <c r="G184" s="615">
        <f t="shared" si="164"/>
        <v>0</v>
      </c>
      <c r="H184" s="713" t="str">
        <f t="shared" ref="H184:J184" si="235">IF(H$26="010倉庫建物",ROUND((H37+H37/(H$5-H$6)*H$6+H37/(H$5-H$6)*H$15)*$D$4,-3),"")</f>
        <v/>
      </c>
      <c r="I184" s="713" t="str">
        <f t="shared" si="235"/>
        <v/>
      </c>
      <c r="J184" s="713" t="str">
        <f t="shared" si="235"/>
        <v/>
      </c>
      <c r="K184" s="713" t="str">
        <f t="shared" si="217"/>
        <v/>
      </c>
      <c r="L184" s="713" t="str">
        <f t="shared" si="217"/>
        <v/>
      </c>
      <c r="M184" s="713" t="str">
        <f t="shared" ref="M184:N184" si="236">IF(M$26="010倉庫建物",ROUND((M37+M37/(M$5-M$6)*M$6+M37/(M$5-M$6)*M$15)*$D$4,-3),"")</f>
        <v/>
      </c>
      <c r="N184" s="713" t="str">
        <f t="shared" si="236"/>
        <v/>
      </c>
    </row>
    <row r="185" spans="1:14" ht="13.5" hidden="1" customHeight="1">
      <c r="A185" s="701"/>
      <c r="C185" s="703">
        <v>10501012</v>
      </c>
      <c r="D185" s="704" t="s">
        <v>602</v>
      </c>
      <c r="E185" s="705"/>
      <c r="F185" s="706"/>
      <c r="G185" s="615">
        <f t="shared" si="164"/>
        <v>0</v>
      </c>
      <c r="H185" s="713" t="str">
        <f t="shared" ref="H185:J185" si="237">IF(H$26="010倉庫建物",ROUND((H38+H38/(H$5-H$6)*H$6+H38/(H$5-H$6)*H$15)*$D$4,-3),"")</f>
        <v/>
      </c>
      <c r="I185" s="713" t="str">
        <f t="shared" si="237"/>
        <v/>
      </c>
      <c r="J185" s="713" t="str">
        <f t="shared" si="237"/>
        <v/>
      </c>
      <c r="K185" s="713" t="str">
        <f t="shared" si="217"/>
        <v/>
      </c>
      <c r="L185" s="713" t="str">
        <f t="shared" si="217"/>
        <v/>
      </c>
      <c r="M185" s="713" t="str">
        <f t="shared" ref="M185:N185" si="238">IF(M$26="010倉庫建物",ROUND((M38+M38/(M$5-M$6)*M$6+M38/(M$5-M$6)*M$15)*$D$4,-3),"")</f>
        <v/>
      </c>
      <c r="N185" s="713" t="str">
        <f t="shared" si="238"/>
        <v/>
      </c>
    </row>
    <row r="186" spans="1:14" ht="13.5" hidden="1" customHeight="1">
      <c r="A186" s="701"/>
      <c r="C186" s="703">
        <v>10501013</v>
      </c>
      <c r="D186" s="704" t="s">
        <v>603</v>
      </c>
      <c r="E186" s="705"/>
      <c r="F186" s="706"/>
      <c r="G186" s="615">
        <f t="shared" si="164"/>
        <v>0</v>
      </c>
      <c r="H186" s="713" t="str">
        <f t="shared" ref="H186:J186" si="239">IF(H$26="010倉庫建物",ROUND((H39+H39/(H$5-H$6)*H$6+H39/(H$5-H$6)*H$15)*$D$4,-3),"")</f>
        <v/>
      </c>
      <c r="I186" s="713" t="str">
        <f t="shared" si="239"/>
        <v/>
      </c>
      <c r="J186" s="713" t="str">
        <f t="shared" si="239"/>
        <v/>
      </c>
      <c r="K186" s="713" t="str">
        <f t="shared" si="217"/>
        <v/>
      </c>
      <c r="L186" s="713" t="str">
        <f t="shared" si="217"/>
        <v/>
      </c>
      <c r="M186" s="713" t="str">
        <f t="shared" ref="M186:N186" si="240">IF(M$26="010倉庫建物",ROUND((M39+M39/(M$5-M$6)*M$6+M39/(M$5-M$6)*M$15)*$D$4,-3),"")</f>
        <v/>
      </c>
      <c r="N186" s="713" t="str">
        <f t="shared" si="240"/>
        <v/>
      </c>
    </row>
    <row r="187" spans="1:14" ht="13.5" hidden="1" customHeight="1">
      <c r="A187" s="701"/>
      <c r="C187" s="703">
        <v>10501014</v>
      </c>
      <c r="D187" s="704" t="s">
        <v>604</v>
      </c>
      <c r="E187" s="705"/>
      <c r="F187" s="706"/>
      <c r="G187" s="615">
        <f t="shared" si="164"/>
        <v>0</v>
      </c>
      <c r="H187" s="713" t="str">
        <f t="shared" ref="H187:J187" si="241">IF(H$26="010倉庫建物",ROUND((H40+H40/(H$5-H$6)*H$6+H40/(H$5-H$6)*H$15)*$D$4,-3),"")</f>
        <v/>
      </c>
      <c r="I187" s="713" t="str">
        <f t="shared" si="241"/>
        <v/>
      </c>
      <c r="J187" s="713" t="str">
        <f t="shared" si="241"/>
        <v/>
      </c>
      <c r="K187" s="713" t="str">
        <f t="shared" si="217"/>
        <v/>
      </c>
      <c r="L187" s="713" t="str">
        <f t="shared" si="217"/>
        <v/>
      </c>
      <c r="M187" s="713" t="str">
        <f t="shared" ref="M187:N187" si="242">IF(M$26="010倉庫建物",ROUND((M40+M40/(M$5-M$6)*M$6+M40/(M$5-M$6)*M$15)*$D$4,-3),"")</f>
        <v/>
      </c>
      <c r="N187" s="713" t="str">
        <f t="shared" si="242"/>
        <v/>
      </c>
    </row>
    <row r="188" spans="1:14" ht="13.5" hidden="1" customHeight="1">
      <c r="A188" s="701"/>
      <c r="C188" s="703">
        <v>10501015</v>
      </c>
      <c r="D188" s="704" t="s">
        <v>605</v>
      </c>
      <c r="E188" s="705"/>
      <c r="F188" s="706"/>
      <c r="G188" s="615">
        <f t="shared" si="164"/>
        <v>0</v>
      </c>
      <c r="H188" s="713" t="str">
        <f t="shared" ref="H188:J188" si="243">IF(H$26="010倉庫建物",ROUND((H41+H41/(H$5-H$6)*H$6+H41/(H$5-H$6)*H$15)*$D$4,-3),"")</f>
        <v/>
      </c>
      <c r="I188" s="713" t="str">
        <f t="shared" si="243"/>
        <v/>
      </c>
      <c r="J188" s="713" t="str">
        <f t="shared" si="243"/>
        <v/>
      </c>
      <c r="K188" s="713" t="str">
        <f t="shared" si="217"/>
        <v/>
      </c>
      <c r="L188" s="713" t="str">
        <f t="shared" si="217"/>
        <v/>
      </c>
      <c r="M188" s="713" t="str">
        <f t="shared" ref="M188:N188" si="244">IF(M$26="010倉庫建物",ROUND((M41+M41/(M$5-M$6)*M$6+M41/(M$5-M$6)*M$15)*$D$4,-3),"")</f>
        <v/>
      </c>
      <c r="N188" s="713" t="str">
        <f t="shared" si="244"/>
        <v/>
      </c>
    </row>
    <row r="189" spans="1:14" ht="13.5" hidden="1" customHeight="1">
      <c r="A189" s="701"/>
      <c r="C189" s="703">
        <v>10501016</v>
      </c>
      <c r="D189" s="704" t="s">
        <v>606</v>
      </c>
      <c r="E189" s="705"/>
      <c r="F189" s="706"/>
      <c r="G189" s="615">
        <f t="shared" si="164"/>
        <v>0</v>
      </c>
      <c r="H189" s="713" t="str">
        <f t="shared" ref="H189:J189" si="245">IF(H$26="010倉庫建物",ROUND((H42+H42/(H$5-H$6)*H$6+H42/(H$5-H$6)*H$15)*$D$4,-3),"")</f>
        <v/>
      </c>
      <c r="I189" s="713" t="str">
        <f t="shared" si="245"/>
        <v/>
      </c>
      <c r="J189" s="713" t="str">
        <f t="shared" si="245"/>
        <v/>
      </c>
      <c r="K189" s="713" t="str">
        <f t="shared" si="217"/>
        <v/>
      </c>
      <c r="L189" s="713" t="str">
        <f t="shared" si="217"/>
        <v/>
      </c>
      <c r="M189" s="713" t="str">
        <f t="shared" ref="M189:N189" si="246">IF(M$26="010倉庫建物",ROUND((M42+M42/(M$5-M$6)*M$6+M42/(M$5-M$6)*M$15)*$D$4,-3),"")</f>
        <v/>
      </c>
      <c r="N189" s="713" t="str">
        <f t="shared" si="246"/>
        <v/>
      </c>
    </row>
    <row r="190" spans="1:14" ht="13.5" hidden="1" customHeight="1">
      <c r="A190" s="701"/>
      <c r="C190" s="703">
        <v>10501017</v>
      </c>
      <c r="D190" s="704" t="s">
        <v>607</v>
      </c>
      <c r="E190" s="705"/>
      <c r="F190" s="706"/>
      <c r="G190" s="615">
        <f t="shared" si="164"/>
        <v>0</v>
      </c>
      <c r="H190" s="713" t="str">
        <f t="shared" ref="H190:J190" si="247">IF(H$26="010倉庫建物",ROUND((H43+H43/(H$5-H$6)*H$6+H43/(H$5-H$6)*H$15)*$D$4,-3),"")</f>
        <v/>
      </c>
      <c r="I190" s="713" t="str">
        <f t="shared" si="247"/>
        <v/>
      </c>
      <c r="J190" s="713" t="str">
        <f t="shared" si="247"/>
        <v/>
      </c>
      <c r="K190" s="713" t="str">
        <f t="shared" si="217"/>
        <v/>
      </c>
      <c r="L190" s="713" t="str">
        <f t="shared" si="217"/>
        <v/>
      </c>
      <c r="M190" s="713" t="str">
        <f t="shared" ref="M190:N190" si="248">IF(M$26="010倉庫建物",ROUND((M43+M43/(M$5-M$6)*M$6+M43/(M$5-M$6)*M$15)*$D$4,-3),"")</f>
        <v/>
      </c>
      <c r="N190" s="713" t="str">
        <f t="shared" si="248"/>
        <v/>
      </c>
    </row>
    <row r="191" spans="1:14" ht="13.5" hidden="1" customHeight="1">
      <c r="A191" s="701"/>
      <c r="C191" s="703">
        <v>10501018</v>
      </c>
      <c r="D191" s="704" t="s">
        <v>608</v>
      </c>
      <c r="E191" s="705"/>
      <c r="F191" s="706"/>
      <c r="G191" s="615">
        <f t="shared" si="164"/>
        <v>0</v>
      </c>
      <c r="H191" s="713" t="str">
        <f t="shared" ref="H191:J191" si="249">IF(H$26="010倉庫建物",ROUND((H44+H44/(H$5-H$6)*H$6+H44/(H$5-H$6)*H$15)*$D$4,-3),"")</f>
        <v/>
      </c>
      <c r="I191" s="713" t="str">
        <f t="shared" si="249"/>
        <v/>
      </c>
      <c r="J191" s="713" t="str">
        <f t="shared" si="249"/>
        <v/>
      </c>
      <c r="K191" s="713" t="str">
        <f t="shared" si="217"/>
        <v/>
      </c>
      <c r="L191" s="713" t="str">
        <f t="shared" si="217"/>
        <v/>
      </c>
      <c r="M191" s="713" t="str">
        <f t="shared" ref="M191:N191" si="250">IF(M$26="010倉庫建物",ROUND((M44+M44/(M$5-M$6)*M$6+M44/(M$5-M$6)*M$15)*$D$4,-3),"")</f>
        <v/>
      </c>
      <c r="N191" s="713" t="str">
        <f t="shared" si="250"/>
        <v/>
      </c>
    </row>
    <row r="192" spans="1:14" ht="13.5" hidden="1" customHeight="1">
      <c r="A192" s="701"/>
      <c r="C192" s="703">
        <v>10501019</v>
      </c>
      <c r="D192" s="704" t="s">
        <v>609</v>
      </c>
      <c r="E192" s="705"/>
      <c r="F192" s="706"/>
      <c r="G192" s="615">
        <f t="shared" si="164"/>
        <v>0</v>
      </c>
      <c r="H192" s="713" t="str">
        <f t="shared" ref="H192:J192" si="251">IF(H$26="010倉庫建物",ROUND((H45+H45/(H$5-H$6)*H$6+H45/(H$5-H$6)*H$15)*$D$4,-3),"")</f>
        <v/>
      </c>
      <c r="I192" s="713" t="str">
        <f t="shared" si="251"/>
        <v/>
      </c>
      <c r="J192" s="713" t="str">
        <f t="shared" si="251"/>
        <v/>
      </c>
      <c r="K192" s="713" t="str">
        <f t="shared" si="217"/>
        <v/>
      </c>
      <c r="L192" s="713" t="str">
        <f t="shared" si="217"/>
        <v/>
      </c>
      <c r="M192" s="713" t="str">
        <f t="shared" ref="M192:N192" si="252">IF(M$26="010倉庫建物",ROUND((M45+M45/(M$5-M$6)*M$6+M45/(M$5-M$6)*M$15)*$D$4,-3),"")</f>
        <v/>
      </c>
      <c r="N192" s="713" t="str">
        <f t="shared" si="252"/>
        <v/>
      </c>
    </row>
    <row r="193" spans="1:14" ht="13.5" hidden="1" customHeight="1">
      <c r="A193" s="701"/>
      <c r="C193" s="703">
        <v>10501020</v>
      </c>
      <c r="D193" s="704" t="s">
        <v>610</v>
      </c>
      <c r="E193" s="705"/>
      <c r="F193" s="706"/>
      <c r="G193" s="615">
        <f t="shared" si="164"/>
        <v>0</v>
      </c>
      <c r="H193" s="713" t="str">
        <f t="shared" ref="H193:J193" si="253">IF(H$26="010倉庫建物",ROUND((H46+H46/(H$5-H$6)*H$6+H46/(H$5-H$6)*H$15)*$D$4,-3),"")</f>
        <v/>
      </c>
      <c r="I193" s="713" t="str">
        <f t="shared" si="253"/>
        <v/>
      </c>
      <c r="J193" s="713" t="str">
        <f t="shared" si="253"/>
        <v/>
      </c>
      <c r="K193" s="713" t="str">
        <f t="shared" si="217"/>
        <v/>
      </c>
      <c r="L193" s="713" t="str">
        <f t="shared" si="217"/>
        <v/>
      </c>
      <c r="M193" s="713" t="str">
        <f t="shared" ref="M193:N193" si="254">IF(M$26="010倉庫建物",ROUND((M46+M46/(M$5-M$6)*M$6+M46/(M$5-M$6)*M$15)*$D$4,-3),"")</f>
        <v/>
      </c>
      <c r="N193" s="713" t="str">
        <f t="shared" si="254"/>
        <v/>
      </c>
    </row>
    <row r="194" spans="1:14" ht="13.5" hidden="1" customHeight="1">
      <c r="A194" s="701"/>
      <c r="C194" s="703">
        <v>10501021</v>
      </c>
      <c r="D194" s="704" t="s">
        <v>611</v>
      </c>
      <c r="E194" s="705"/>
      <c r="F194" s="706"/>
      <c r="G194" s="615">
        <f t="shared" si="164"/>
        <v>0</v>
      </c>
      <c r="H194" s="713" t="str">
        <f t="shared" ref="H194:J194" si="255">IF(H$26="010倉庫建物",ROUND((H47+H47/(H$5-H$6)*H$6+H47/(H$5-H$6)*H$15)*$D$4,-3),"")</f>
        <v/>
      </c>
      <c r="I194" s="713" t="str">
        <f t="shared" si="255"/>
        <v/>
      </c>
      <c r="J194" s="713" t="str">
        <f t="shared" si="255"/>
        <v/>
      </c>
      <c r="K194" s="713" t="str">
        <f t="shared" si="217"/>
        <v/>
      </c>
      <c r="L194" s="713" t="str">
        <f t="shared" si="217"/>
        <v/>
      </c>
      <c r="M194" s="713" t="str">
        <f t="shared" ref="M194:N194" si="256">IF(M$26="010倉庫建物",ROUND((M47+M47/(M$5-M$6)*M$6+M47/(M$5-M$6)*M$15)*$D$4,-3),"")</f>
        <v/>
      </c>
      <c r="N194" s="713" t="str">
        <f t="shared" si="256"/>
        <v/>
      </c>
    </row>
    <row r="195" spans="1:14" ht="13.5" hidden="1" customHeight="1">
      <c r="A195" s="701"/>
      <c r="C195" s="703">
        <v>10501022</v>
      </c>
      <c r="D195" s="704" t="s">
        <v>612</v>
      </c>
      <c r="E195" s="705"/>
      <c r="F195" s="706"/>
      <c r="G195" s="615">
        <f t="shared" si="164"/>
        <v>0</v>
      </c>
      <c r="H195" s="713" t="str">
        <f t="shared" ref="H195:J195" si="257">IF(H$26="010倉庫建物",ROUND((H48+H48/(H$5-H$6)*H$6+H48/(H$5-H$6)*H$15)*$D$4,-3),"")</f>
        <v/>
      </c>
      <c r="I195" s="713" t="str">
        <f t="shared" si="257"/>
        <v/>
      </c>
      <c r="J195" s="713" t="str">
        <f t="shared" si="257"/>
        <v/>
      </c>
      <c r="K195" s="713" t="str">
        <f t="shared" si="217"/>
        <v/>
      </c>
      <c r="L195" s="713" t="str">
        <f t="shared" si="217"/>
        <v/>
      </c>
      <c r="M195" s="713" t="str">
        <f t="shared" ref="M195:N195" si="258">IF(M$26="010倉庫建物",ROUND((M48+M48/(M$5-M$6)*M$6+M48/(M$5-M$6)*M$15)*$D$4,-3),"")</f>
        <v/>
      </c>
      <c r="N195" s="713" t="str">
        <f t="shared" si="258"/>
        <v/>
      </c>
    </row>
    <row r="196" spans="1:14" ht="13.5" hidden="1" customHeight="1">
      <c r="A196" s="701"/>
      <c r="C196" s="703">
        <v>10501023</v>
      </c>
      <c r="D196" s="704" t="s">
        <v>613</v>
      </c>
      <c r="E196" s="705"/>
      <c r="F196" s="706"/>
      <c r="G196" s="615">
        <f t="shared" si="164"/>
        <v>0</v>
      </c>
      <c r="H196" s="713" t="str">
        <f t="shared" ref="H196:J196" si="259">IF(H$26="010倉庫建物",ROUND((H49+H49/(H$5-H$6)*H$6+H49/(H$5-H$6)*H$15)*$D$4,-3),"")</f>
        <v/>
      </c>
      <c r="I196" s="713" t="str">
        <f t="shared" si="259"/>
        <v/>
      </c>
      <c r="J196" s="713" t="str">
        <f t="shared" si="259"/>
        <v/>
      </c>
      <c r="K196" s="713" t="str">
        <f t="shared" si="217"/>
        <v/>
      </c>
      <c r="L196" s="713" t="str">
        <f t="shared" si="217"/>
        <v/>
      </c>
      <c r="M196" s="713" t="str">
        <f t="shared" ref="M196:N196" si="260">IF(M$26="010倉庫建物",ROUND((M49+M49/(M$5-M$6)*M$6+M49/(M$5-M$6)*M$15)*$D$4,-3),"")</f>
        <v/>
      </c>
      <c r="N196" s="713" t="str">
        <f t="shared" si="260"/>
        <v/>
      </c>
    </row>
    <row r="197" spans="1:14" ht="13.5" hidden="1" customHeight="1">
      <c r="A197" s="701"/>
      <c r="C197" s="703">
        <v>10501024</v>
      </c>
      <c r="D197" s="704" t="s">
        <v>614</v>
      </c>
      <c r="E197" s="705"/>
      <c r="F197" s="706"/>
      <c r="G197" s="615">
        <f t="shared" si="164"/>
        <v>0</v>
      </c>
      <c r="H197" s="713" t="str">
        <f t="shared" ref="H197:J197" si="261">IF(H$26="010倉庫建物",ROUND((H50+H50/(H$5-H$6)*H$6+H50/(H$5-H$6)*H$15)*$D$4,-3),"")</f>
        <v/>
      </c>
      <c r="I197" s="713" t="str">
        <f t="shared" si="261"/>
        <v/>
      </c>
      <c r="J197" s="713" t="str">
        <f t="shared" si="261"/>
        <v/>
      </c>
      <c r="K197" s="713" t="str">
        <f t="shared" si="217"/>
        <v/>
      </c>
      <c r="L197" s="713" t="str">
        <f t="shared" si="217"/>
        <v/>
      </c>
      <c r="M197" s="713" t="str">
        <f t="shared" ref="M197:N197" si="262">IF(M$26="010倉庫建物",ROUND((M50+M50/(M$5-M$6)*M$6+M50/(M$5-M$6)*M$15)*$D$4,-3),"")</f>
        <v/>
      </c>
      <c r="N197" s="713" t="str">
        <f t="shared" si="262"/>
        <v/>
      </c>
    </row>
    <row r="198" spans="1:14" ht="13.5" hidden="1" customHeight="1">
      <c r="A198" s="701"/>
      <c r="C198" s="703">
        <v>10501025</v>
      </c>
      <c r="D198" s="704" t="s">
        <v>615</v>
      </c>
      <c r="E198" s="705"/>
      <c r="F198" s="706"/>
      <c r="G198" s="615">
        <f t="shared" si="164"/>
        <v>0</v>
      </c>
      <c r="H198" s="713" t="str">
        <f t="shared" ref="H198:J198" si="263">IF(H$26="010倉庫建物",ROUND((H51+H51/(H$5-H$6)*H$6+H51/(H$5-H$6)*H$15)*$D$4,-3),"")</f>
        <v/>
      </c>
      <c r="I198" s="713" t="str">
        <f t="shared" si="263"/>
        <v/>
      </c>
      <c r="J198" s="713" t="str">
        <f t="shared" si="263"/>
        <v/>
      </c>
      <c r="K198" s="713" t="str">
        <f t="shared" si="217"/>
        <v/>
      </c>
      <c r="L198" s="713" t="str">
        <f t="shared" si="217"/>
        <v/>
      </c>
      <c r="M198" s="713" t="str">
        <f t="shared" ref="M198:N198" si="264">IF(M$26="010倉庫建物",ROUND((M51+M51/(M$5-M$6)*M$6+M51/(M$5-M$6)*M$15)*$D$4,-3),"")</f>
        <v/>
      </c>
      <c r="N198" s="713" t="str">
        <f t="shared" si="264"/>
        <v/>
      </c>
    </row>
    <row r="199" spans="1:14" ht="13.5" hidden="1" customHeight="1">
      <c r="A199" s="701"/>
      <c r="B199" s="702"/>
      <c r="C199" s="708"/>
      <c r="D199" s="709"/>
      <c r="E199" s="710"/>
      <c r="F199" s="623"/>
      <c r="G199" s="615">
        <f t="shared" si="164"/>
        <v>0</v>
      </c>
      <c r="H199" s="712"/>
      <c r="I199" s="712"/>
      <c r="J199" s="712"/>
      <c r="K199" s="712"/>
      <c r="L199" s="712"/>
      <c r="M199" s="712"/>
      <c r="N199" s="712"/>
    </row>
    <row r="200" spans="1:14" ht="13.5" hidden="1" customHeight="1">
      <c r="A200" s="701"/>
      <c r="C200" s="703">
        <v>10501101</v>
      </c>
      <c r="D200" s="704" t="s">
        <v>616</v>
      </c>
      <c r="E200" s="705"/>
      <c r="F200" s="706"/>
      <c r="G200" s="615">
        <f t="shared" si="164"/>
        <v>0</v>
      </c>
      <c r="H200" s="713" t="str">
        <f t="shared" ref="H200:M200" si="265">IF(H$26="011詰所建物",ROUND((H27+H27/(H$5-H$6)*H$6+H27/(H$5-H$6)*H$15)*$D$4,-3),"")</f>
        <v/>
      </c>
      <c r="I200" s="713" t="str">
        <f t="shared" si="265"/>
        <v/>
      </c>
      <c r="J200" s="713" t="str">
        <f t="shared" si="265"/>
        <v/>
      </c>
      <c r="K200" s="713" t="str">
        <f t="shared" si="265"/>
        <v/>
      </c>
      <c r="L200" s="713" t="str">
        <f t="shared" si="265"/>
        <v/>
      </c>
      <c r="M200" s="713" t="str">
        <f t="shared" si="265"/>
        <v/>
      </c>
      <c r="N200" s="713" t="str">
        <f t="shared" ref="N200" si="266">IF(N$26="011詰所建物",ROUND((N27+N27/(N$5-N$6)*N$6+N27/(N$5-N$6)*N$15)*$D$4,-3),"")</f>
        <v/>
      </c>
    </row>
    <row r="201" spans="1:14" ht="13.5" hidden="1" customHeight="1">
      <c r="A201" s="701"/>
      <c r="C201" s="703">
        <v>10501102</v>
      </c>
      <c r="D201" s="704" t="s">
        <v>617</v>
      </c>
      <c r="E201" s="705"/>
      <c r="F201" s="706"/>
      <c r="G201" s="615">
        <f t="shared" si="164"/>
        <v>0</v>
      </c>
      <c r="H201" s="713" t="str">
        <f t="shared" ref="H201:J201" si="267">IF(H$26="011詰所建物",ROUND((H28+H28/(H$5-H$6)*H$6+H28/(H$5-H$6)*H$15)*$D$4,-3),"")</f>
        <v/>
      </c>
      <c r="I201" s="713" t="str">
        <f t="shared" si="267"/>
        <v/>
      </c>
      <c r="J201" s="713" t="str">
        <f t="shared" si="267"/>
        <v/>
      </c>
      <c r="K201" s="713" t="str">
        <f t="shared" ref="K201:L224" si="268">IF(K$26="011詰所建物",ROUND((K28+K28/(K$5-K$6)*K$6+K28/(K$5-K$6)*K$15)*$D$4,-3),"")</f>
        <v/>
      </c>
      <c r="L201" s="713" t="str">
        <f t="shared" si="268"/>
        <v/>
      </c>
      <c r="M201" s="713" t="str">
        <f t="shared" ref="M201:N201" si="269">IF(M$26="011詰所建物",ROUND((M28+M28/(M$5-M$6)*M$6+M28/(M$5-M$6)*M$15)*$D$4,-3),"")</f>
        <v/>
      </c>
      <c r="N201" s="713" t="str">
        <f t="shared" si="269"/>
        <v/>
      </c>
    </row>
    <row r="202" spans="1:14" ht="13.5" hidden="1" customHeight="1">
      <c r="A202" s="701"/>
      <c r="C202" s="703">
        <v>10501103</v>
      </c>
      <c r="D202" s="704" t="s">
        <v>618</v>
      </c>
      <c r="E202" s="705"/>
      <c r="F202" s="706"/>
      <c r="G202" s="615">
        <f t="shared" si="164"/>
        <v>0</v>
      </c>
      <c r="H202" s="713" t="str">
        <f t="shared" ref="H202:J202" si="270">IF(H$26="011詰所建物",ROUND((H29+H29/(H$5-H$6)*H$6+H29/(H$5-H$6)*H$15)*$D$4,-3),"")</f>
        <v/>
      </c>
      <c r="I202" s="713" t="str">
        <f t="shared" si="270"/>
        <v/>
      </c>
      <c r="J202" s="713" t="str">
        <f t="shared" si="270"/>
        <v/>
      </c>
      <c r="K202" s="713" t="str">
        <f t="shared" si="268"/>
        <v/>
      </c>
      <c r="L202" s="713" t="str">
        <f t="shared" si="268"/>
        <v/>
      </c>
      <c r="M202" s="713" t="str">
        <f t="shared" ref="M202:N202" si="271">IF(M$26="011詰所建物",ROUND((M29+M29/(M$5-M$6)*M$6+M29/(M$5-M$6)*M$15)*$D$4,-3),"")</f>
        <v/>
      </c>
      <c r="N202" s="713" t="str">
        <f t="shared" si="271"/>
        <v/>
      </c>
    </row>
    <row r="203" spans="1:14" ht="13.5" hidden="1" customHeight="1">
      <c r="A203" s="701"/>
      <c r="C203" s="703">
        <v>10501104</v>
      </c>
      <c r="D203" s="704" t="s">
        <v>619</v>
      </c>
      <c r="E203" s="705"/>
      <c r="F203" s="706"/>
      <c r="G203" s="615">
        <f t="shared" si="164"/>
        <v>0</v>
      </c>
      <c r="H203" s="713" t="str">
        <f t="shared" ref="H203:J203" si="272">IF(H$26="011詰所建物",ROUND((H30+H30/(H$5-H$6)*H$6+H30/(H$5-H$6)*H$15)*$D$4,-3),"")</f>
        <v/>
      </c>
      <c r="I203" s="713" t="str">
        <f t="shared" si="272"/>
        <v/>
      </c>
      <c r="J203" s="713" t="str">
        <f t="shared" si="272"/>
        <v/>
      </c>
      <c r="K203" s="713" t="str">
        <f t="shared" si="268"/>
        <v/>
      </c>
      <c r="L203" s="713" t="str">
        <f t="shared" si="268"/>
        <v/>
      </c>
      <c r="M203" s="713" t="str">
        <f t="shared" ref="M203:N203" si="273">IF(M$26="011詰所建物",ROUND((M30+M30/(M$5-M$6)*M$6+M30/(M$5-M$6)*M$15)*$D$4,-3),"")</f>
        <v/>
      </c>
      <c r="N203" s="713" t="str">
        <f t="shared" si="273"/>
        <v/>
      </c>
    </row>
    <row r="204" spans="1:14" ht="13.5" hidden="1" customHeight="1">
      <c r="A204" s="701"/>
      <c r="C204" s="703">
        <v>10501105</v>
      </c>
      <c r="D204" s="704" t="s">
        <v>620</v>
      </c>
      <c r="E204" s="705"/>
      <c r="F204" s="706"/>
      <c r="G204" s="615">
        <f t="shared" si="164"/>
        <v>0</v>
      </c>
      <c r="H204" s="713" t="str">
        <f t="shared" ref="H204:J204" si="274">IF(H$26="011詰所建物",ROUND((H31+H31/(H$5-H$6)*H$6+H31/(H$5-H$6)*H$15)*$D$4,-3),"")</f>
        <v/>
      </c>
      <c r="I204" s="713" t="str">
        <f t="shared" si="274"/>
        <v/>
      </c>
      <c r="J204" s="713" t="str">
        <f t="shared" si="274"/>
        <v/>
      </c>
      <c r="K204" s="713" t="str">
        <f t="shared" si="268"/>
        <v/>
      </c>
      <c r="L204" s="713" t="str">
        <f t="shared" si="268"/>
        <v/>
      </c>
      <c r="M204" s="713" t="str">
        <f t="shared" ref="M204:N204" si="275">IF(M$26="011詰所建物",ROUND((M31+M31/(M$5-M$6)*M$6+M31/(M$5-M$6)*M$15)*$D$4,-3),"")</f>
        <v/>
      </c>
      <c r="N204" s="713" t="str">
        <f t="shared" si="275"/>
        <v/>
      </c>
    </row>
    <row r="205" spans="1:14" ht="13.5" hidden="1" customHeight="1">
      <c r="A205" s="701"/>
      <c r="C205" s="703">
        <v>10501106</v>
      </c>
      <c r="D205" s="704" t="s">
        <v>621</v>
      </c>
      <c r="E205" s="705"/>
      <c r="F205" s="706"/>
      <c r="G205" s="615">
        <f t="shared" si="164"/>
        <v>0</v>
      </c>
      <c r="H205" s="713" t="str">
        <f t="shared" ref="H205:J205" si="276">IF(H$26="011詰所建物",ROUND((H32+H32/(H$5-H$6)*H$6+H32/(H$5-H$6)*H$15)*$D$4,-3),"")</f>
        <v/>
      </c>
      <c r="I205" s="713" t="str">
        <f t="shared" si="276"/>
        <v/>
      </c>
      <c r="J205" s="713" t="str">
        <f t="shared" si="276"/>
        <v/>
      </c>
      <c r="K205" s="713" t="str">
        <f t="shared" si="268"/>
        <v/>
      </c>
      <c r="L205" s="713" t="str">
        <f t="shared" si="268"/>
        <v/>
      </c>
      <c r="M205" s="713" t="str">
        <f t="shared" ref="M205:N205" si="277">IF(M$26="011詰所建物",ROUND((M32+M32/(M$5-M$6)*M$6+M32/(M$5-M$6)*M$15)*$D$4,-3),"")</f>
        <v/>
      </c>
      <c r="N205" s="713" t="str">
        <f t="shared" si="277"/>
        <v/>
      </c>
    </row>
    <row r="206" spans="1:14" ht="13.5" hidden="1" customHeight="1">
      <c r="A206" s="701"/>
      <c r="C206" s="703">
        <v>10501107</v>
      </c>
      <c r="D206" s="704" t="s">
        <v>622</v>
      </c>
      <c r="E206" s="705"/>
      <c r="F206" s="706"/>
      <c r="G206" s="615">
        <f t="shared" si="164"/>
        <v>0</v>
      </c>
      <c r="H206" s="713" t="str">
        <f t="shared" ref="H206:J206" si="278">IF(H$26="011詰所建物",ROUND((H33+H33/(H$5-H$6)*H$6+H33/(H$5-H$6)*H$15)*$D$4,-3),"")</f>
        <v/>
      </c>
      <c r="I206" s="713" t="str">
        <f t="shared" si="278"/>
        <v/>
      </c>
      <c r="J206" s="713" t="str">
        <f t="shared" si="278"/>
        <v/>
      </c>
      <c r="K206" s="713" t="str">
        <f t="shared" si="268"/>
        <v/>
      </c>
      <c r="L206" s="713" t="str">
        <f t="shared" si="268"/>
        <v/>
      </c>
      <c r="M206" s="713" t="str">
        <f t="shared" ref="M206:N206" si="279">IF(M$26="011詰所建物",ROUND((M33+M33/(M$5-M$6)*M$6+M33/(M$5-M$6)*M$15)*$D$4,-3),"")</f>
        <v/>
      </c>
      <c r="N206" s="713" t="str">
        <f t="shared" si="279"/>
        <v/>
      </c>
    </row>
    <row r="207" spans="1:14" ht="13.5" hidden="1" customHeight="1">
      <c r="A207" s="701"/>
      <c r="C207" s="703">
        <v>10501108</v>
      </c>
      <c r="D207" s="704" t="s">
        <v>623</v>
      </c>
      <c r="E207" s="705"/>
      <c r="F207" s="706"/>
      <c r="G207" s="615">
        <f t="shared" si="164"/>
        <v>0</v>
      </c>
      <c r="H207" s="713" t="str">
        <f t="shared" ref="H207:J207" si="280">IF(H$26="011詰所建物",ROUND((H34+H34/(H$5-H$6)*H$6+H34/(H$5-H$6)*H$15)*$D$4,-3),"")</f>
        <v/>
      </c>
      <c r="I207" s="713" t="str">
        <f t="shared" si="280"/>
        <v/>
      </c>
      <c r="J207" s="713" t="str">
        <f t="shared" si="280"/>
        <v/>
      </c>
      <c r="K207" s="713" t="str">
        <f t="shared" si="268"/>
        <v/>
      </c>
      <c r="L207" s="713" t="str">
        <f t="shared" si="268"/>
        <v/>
      </c>
      <c r="M207" s="713" t="str">
        <f t="shared" ref="M207:N207" si="281">IF(M$26="011詰所建物",ROUND((M34+M34/(M$5-M$6)*M$6+M34/(M$5-M$6)*M$15)*$D$4,-3),"")</f>
        <v/>
      </c>
      <c r="N207" s="713" t="str">
        <f t="shared" si="281"/>
        <v/>
      </c>
    </row>
    <row r="208" spans="1:14" ht="13.5" hidden="1" customHeight="1">
      <c r="A208" s="701"/>
      <c r="C208" s="703">
        <v>10501109</v>
      </c>
      <c r="D208" s="704" t="s">
        <v>624</v>
      </c>
      <c r="E208" s="705"/>
      <c r="F208" s="706"/>
      <c r="G208" s="615">
        <f t="shared" si="164"/>
        <v>0</v>
      </c>
      <c r="H208" s="713" t="str">
        <f t="shared" ref="H208:J208" si="282">IF(H$26="011詰所建物",ROUND((H35+H35/(H$5-H$6)*H$6+H35/(H$5-H$6)*H$15)*$D$4,-3),"")</f>
        <v/>
      </c>
      <c r="I208" s="713" t="str">
        <f t="shared" si="282"/>
        <v/>
      </c>
      <c r="J208" s="713" t="str">
        <f t="shared" si="282"/>
        <v/>
      </c>
      <c r="K208" s="713" t="str">
        <f t="shared" si="268"/>
        <v/>
      </c>
      <c r="L208" s="713" t="str">
        <f t="shared" si="268"/>
        <v/>
      </c>
      <c r="M208" s="713" t="str">
        <f t="shared" ref="M208:N208" si="283">IF(M$26="011詰所建物",ROUND((M35+M35/(M$5-M$6)*M$6+M35/(M$5-M$6)*M$15)*$D$4,-3),"")</f>
        <v/>
      </c>
      <c r="N208" s="713" t="str">
        <f t="shared" si="283"/>
        <v/>
      </c>
    </row>
    <row r="209" spans="1:14" ht="13.5" hidden="1" customHeight="1">
      <c r="A209" s="701"/>
      <c r="C209" s="703">
        <v>10501110</v>
      </c>
      <c r="D209" s="704" t="s">
        <v>625</v>
      </c>
      <c r="E209" s="705"/>
      <c r="F209" s="706"/>
      <c r="G209" s="615">
        <f t="shared" si="164"/>
        <v>0</v>
      </c>
      <c r="H209" s="713" t="str">
        <f t="shared" ref="H209:J209" si="284">IF(H$26="011詰所建物",ROUND((H36+H36/(H$5-H$6)*H$6+H36/(H$5-H$6)*H$15)*$D$4,-3),"")</f>
        <v/>
      </c>
      <c r="I209" s="713" t="str">
        <f t="shared" si="284"/>
        <v/>
      </c>
      <c r="J209" s="713" t="str">
        <f t="shared" si="284"/>
        <v/>
      </c>
      <c r="K209" s="713" t="str">
        <f t="shared" si="268"/>
        <v/>
      </c>
      <c r="L209" s="713" t="str">
        <f t="shared" si="268"/>
        <v/>
      </c>
      <c r="M209" s="713" t="str">
        <f t="shared" ref="M209:N209" si="285">IF(M$26="011詰所建物",ROUND((M36+M36/(M$5-M$6)*M$6+M36/(M$5-M$6)*M$15)*$D$4,-3),"")</f>
        <v/>
      </c>
      <c r="N209" s="713" t="str">
        <f t="shared" si="285"/>
        <v/>
      </c>
    </row>
    <row r="210" spans="1:14" ht="13.5" hidden="1" customHeight="1">
      <c r="A210" s="701"/>
      <c r="C210" s="703">
        <v>10501111</v>
      </c>
      <c r="D210" s="704" t="s">
        <v>626</v>
      </c>
      <c r="E210" s="705"/>
      <c r="F210" s="706"/>
      <c r="G210" s="615">
        <f t="shared" si="164"/>
        <v>0</v>
      </c>
      <c r="H210" s="713" t="str">
        <f t="shared" ref="H210:J210" si="286">IF(H$26="011詰所建物",ROUND((H37+H37/(H$5-H$6)*H$6+H37/(H$5-H$6)*H$15)*$D$4,-3),"")</f>
        <v/>
      </c>
      <c r="I210" s="713" t="str">
        <f t="shared" si="286"/>
        <v/>
      </c>
      <c r="J210" s="713" t="str">
        <f t="shared" si="286"/>
        <v/>
      </c>
      <c r="K210" s="713" t="str">
        <f t="shared" si="268"/>
        <v/>
      </c>
      <c r="L210" s="713" t="str">
        <f t="shared" si="268"/>
        <v/>
      </c>
      <c r="M210" s="713" t="str">
        <f t="shared" ref="M210:N210" si="287">IF(M$26="011詰所建物",ROUND((M37+M37/(M$5-M$6)*M$6+M37/(M$5-M$6)*M$15)*$D$4,-3),"")</f>
        <v/>
      </c>
      <c r="N210" s="713" t="str">
        <f t="shared" si="287"/>
        <v/>
      </c>
    </row>
    <row r="211" spans="1:14" ht="13.5" hidden="1" customHeight="1">
      <c r="A211" s="701"/>
      <c r="C211" s="703">
        <v>10501112</v>
      </c>
      <c r="D211" s="704" t="s">
        <v>627</v>
      </c>
      <c r="E211" s="705"/>
      <c r="F211" s="706"/>
      <c r="G211" s="615">
        <f t="shared" si="164"/>
        <v>0</v>
      </c>
      <c r="H211" s="713" t="str">
        <f t="shared" ref="H211:J211" si="288">IF(H$26="011詰所建物",ROUND((H38+H38/(H$5-H$6)*H$6+H38/(H$5-H$6)*H$15)*$D$4,-3),"")</f>
        <v/>
      </c>
      <c r="I211" s="713" t="str">
        <f t="shared" si="288"/>
        <v/>
      </c>
      <c r="J211" s="713" t="str">
        <f t="shared" si="288"/>
        <v/>
      </c>
      <c r="K211" s="713" t="str">
        <f t="shared" si="268"/>
        <v/>
      </c>
      <c r="L211" s="713" t="str">
        <f t="shared" si="268"/>
        <v/>
      </c>
      <c r="M211" s="713" t="str">
        <f t="shared" ref="M211:N211" si="289">IF(M$26="011詰所建物",ROUND((M38+M38/(M$5-M$6)*M$6+M38/(M$5-M$6)*M$15)*$D$4,-3),"")</f>
        <v/>
      </c>
      <c r="N211" s="713" t="str">
        <f t="shared" si="289"/>
        <v/>
      </c>
    </row>
    <row r="212" spans="1:14" ht="13.5" hidden="1" customHeight="1">
      <c r="A212" s="701"/>
      <c r="C212" s="703">
        <v>10501113</v>
      </c>
      <c r="D212" s="704" t="s">
        <v>628</v>
      </c>
      <c r="E212" s="705"/>
      <c r="F212" s="706"/>
      <c r="G212" s="615">
        <f t="shared" si="164"/>
        <v>0</v>
      </c>
      <c r="H212" s="713" t="str">
        <f t="shared" ref="H212:J212" si="290">IF(H$26="011詰所建物",ROUND((H39+H39/(H$5-H$6)*H$6+H39/(H$5-H$6)*H$15)*$D$4,-3),"")</f>
        <v/>
      </c>
      <c r="I212" s="713" t="str">
        <f t="shared" si="290"/>
        <v/>
      </c>
      <c r="J212" s="713" t="str">
        <f t="shared" si="290"/>
        <v/>
      </c>
      <c r="K212" s="713" t="str">
        <f t="shared" si="268"/>
        <v/>
      </c>
      <c r="L212" s="713" t="str">
        <f t="shared" si="268"/>
        <v/>
      </c>
      <c r="M212" s="713" t="str">
        <f t="shared" ref="M212:N212" si="291">IF(M$26="011詰所建物",ROUND((M39+M39/(M$5-M$6)*M$6+M39/(M$5-M$6)*M$15)*$D$4,-3),"")</f>
        <v/>
      </c>
      <c r="N212" s="713" t="str">
        <f t="shared" si="291"/>
        <v/>
      </c>
    </row>
    <row r="213" spans="1:14" ht="13.5" hidden="1" customHeight="1">
      <c r="A213" s="701"/>
      <c r="C213" s="703">
        <v>10501114</v>
      </c>
      <c r="D213" s="704" t="s">
        <v>629</v>
      </c>
      <c r="E213" s="705"/>
      <c r="F213" s="706"/>
      <c r="G213" s="615">
        <f t="shared" ref="G213:G276" si="292">SUM(H213:M213)</f>
        <v>0</v>
      </c>
      <c r="H213" s="713" t="str">
        <f t="shared" ref="H213:J213" si="293">IF(H$26="011詰所建物",ROUND((H40+H40/(H$5-H$6)*H$6+H40/(H$5-H$6)*H$15)*$D$4,-3),"")</f>
        <v/>
      </c>
      <c r="I213" s="713" t="str">
        <f t="shared" si="293"/>
        <v/>
      </c>
      <c r="J213" s="713" t="str">
        <f t="shared" si="293"/>
        <v/>
      </c>
      <c r="K213" s="713" t="str">
        <f t="shared" si="268"/>
        <v/>
      </c>
      <c r="L213" s="713" t="str">
        <f t="shared" si="268"/>
        <v/>
      </c>
      <c r="M213" s="713" t="str">
        <f t="shared" ref="M213:N213" si="294">IF(M$26="011詰所建物",ROUND((M40+M40/(M$5-M$6)*M$6+M40/(M$5-M$6)*M$15)*$D$4,-3),"")</f>
        <v/>
      </c>
      <c r="N213" s="713" t="str">
        <f t="shared" si="294"/>
        <v/>
      </c>
    </row>
    <row r="214" spans="1:14" ht="13.5" hidden="1" customHeight="1">
      <c r="A214" s="701"/>
      <c r="C214" s="703">
        <v>10501115</v>
      </c>
      <c r="D214" s="704" t="s">
        <v>630</v>
      </c>
      <c r="E214" s="705"/>
      <c r="F214" s="706"/>
      <c r="G214" s="615">
        <f t="shared" si="292"/>
        <v>0</v>
      </c>
      <c r="H214" s="713" t="str">
        <f t="shared" ref="H214:J214" si="295">IF(H$26="011詰所建物",ROUND((H41+H41/(H$5-H$6)*H$6+H41/(H$5-H$6)*H$15)*$D$4,-3),"")</f>
        <v/>
      </c>
      <c r="I214" s="713" t="str">
        <f t="shared" si="295"/>
        <v/>
      </c>
      <c r="J214" s="713" t="str">
        <f t="shared" si="295"/>
        <v/>
      </c>
      <c r="K214" s="713" t="str">
        <f t="shared" si="268"/>
        <v/>
      </c>
      <c r="L214" s="713" t="str">
        <f t="shared" si="268"/>
        <v/>
      </c>
      <c r="M214" s="713" t="str">
        <f t="shared" ref="M214:N214" si="296">IF(M$26="011詰所建物",ROUND((M41+M41/(M$5-M$6)*M$6+M41/(M$5-M$6)*M$15)*$D$4,-3),"")</f>
        <v/>
      </c>
      <c r="N214" s="713" t="str">
        <f t="shared" si="296"/>
        <v/>
      </c>
    </row>
    <row r="215" spans="1:14" ht="13.5" hidden="1" customHeight="1">
      <c r="A215" s="701"/>
      <c r="C215" s="703">
        <v>10501116</v>
      </c>
      <c r="D215" s="704" t="s">
        <v>631</v>
      </c>
      <c r="E215" s="705"/>
      <c r="F215" s="706"/>
      <c r="G215" s="615">
        <f t="shared" si="292"/>
        <v>0</v>
      </c>
      <c r="H215" s="713" t="str">
        <f t="shared" ref="H215:J215" si="297">IF(H$26="011詰所建物",ROUND((H42+H42/(H$5-H$6)*H$6+H42/(H$5-H$6)*H$15)*$D$4,-3),"")</f>
        <v/>
      </c>
      <c r="I215" s="713" t="str">
        <f t="shared" si="297"/>
        <v/>
      </c>
      <c r="J215" s="713" t="str">
        <f t="shared" si="297"/>
        <v/>
      </c>
      <c r="K215" s="713" t="str">
        <f t="shared" si="268"/>
        <v/>
      </c>
      <c r="L215" s="713" t="str">
        <f t="shared" si="268"/>
        <v/>
      </c>
      <c r="M215" s="713" t="str">
        <f t="shared" ref="M215:N215" si="298">IF(M$26="011詰所建物",ROUND((M42+M42/(M$5-M$6)*M$6+M42/(M$5-M$6)*M$15)*$D$4,-3),"")</f>
        <v/>
      </c>
      <c r="N215" s="713" t="str">
        <f t="shared" si="298"/>
        <v/>
      </c>
    </row>
    <row r="216" spans="1:14" ht="13.5" hidden="1" customHeight="1">
      <c r="A216" s="701"/>
      <c r="C216" s="703">
        <v>10501117</v>
      </c>
      <c r="D216" s="704" t="s">
        <v>632</v>
      </c>
      <c r="E216" s="705"/>
      <c r="F216" s="706"/>
      <c r="G216" s="615">
        <f t="shared" si="292"/>
        <v>0</v>
      </c>
      <c r="H216" s="713" t="str">
        <f t="shared" ref="H216:J216" si="299">IF(H$26="011詰所建物",ROUND((H43+H43/(H$5-H$6)*H$6+H43/(H$5-H$6)*H$15)*$D$4,-3),"")</f>
        <v/>
      </c>
      <c r="I216" s="713" t="str">
        <f t="shared" si="299"/>
        <v/>
      </c>
      <c r="J216" s="713" t="str">
        <f t="shared" si="299"/>
        <v/>
      </c>
      <c r="K216" s="713" t="str">
        <f t="shared" si="268"/>
        <v/>
      </c>
      <c r="L216" s="713" t="str">
        <f t="shared" si="268"/>
        <v/>
      </c>
      <c r="M216" s="713" t="str">
        <f t="shared" ref="M216:N216" si="300">IF(M$26="011詰所建物",ROUND((M43+M43/(M$5-M$6)*M$6+M43/(M$5-M$6)*M$15)*$D$4,-3),"")</f>
        <v/>
      </c>
      <c r="N216" s="713" t="str">
        <f t="shared" si="300"/>
        <v/>
      </c>
    </row>
    <row r="217" spans="1:14" ht="13.5" hidden="1" customHeight="1">
      <c r="A217" s="701"/>
      <c r="C217" s="703">
        <v>10501118</v>
      </c>
      <c r="D217" s="704" t="s">
        <v>633</v>
      </c>
      <c r="E217" s="705"/>
      <c r="F217" s="706"/>
      <c r="G217" s="615">
        <f t="shared" si="292"/>
        <v>0</v>
      </c>
      <c r="H217" s="713" t="str">
        <f t="shared" ref="H217:J217" si="301">IF(H$26="011詰所建物",ROUND((H44+H44/(H$5-H$6)*H$6+H44/(H$5-H$6)*H$15)*$D$4,-3),"")</f>
        <v/>
      </c>
      <c r="I217" s="713" t="str">
        <f t="shared" si="301"/>
        <v/>
      </c>
      <c r="J217" s="713" t="str">
        <f t="shared" si="301"/>
        <v/>
      </c>
      <c r="K217" s="713" t="str">
        <f t="shared" si="268"/>
        <v/>
      </c>
      <c r="L217" s="713" t="str">
        <f t="shared" si="268"/>
        <v/>
      </c>
      <c r="M217" s="713" t="str">
        <f t="shared" ref="M217:N217" si="302">IF(M$26="011詰所建物",ROUND((M44+M44/(M$5-M$6)*M$6+M44/(M$5-M$6)*M$15)*$D$4,-3),"")</f>
        <v/>
      </c>
      <c r="N217" s="713" t="str">
        <f t="shared" si="302"/>
        <v/>
      </c>
    </row>
    <row r="218" spans="1:14" ht="13.5" hidden="1" customHeight="1">
      <c r="A218" s="701"/>
      <c r="C218" s="703">
        <v>10501119</v>
      </c>
      <c r="D218" s="704" t="s">
        <v>634</v>
      </c>
      <c r="E218" s="705"/>
      <c r="F218" s="706"/>
      <c r="G218" s="615">
        <f t="shared" si="292"/>
        <v>0</v>
      </c>
      <c r="H218" s="713" t="str">
        <f t="shared" ref="H218:J218" si="303">IF(H$26="011詰所建物",ROUND((H45+H45/(H$5-H$6)*H$6+H45/(H$5-H$6)*H$15)*$D$4,-3),"")</f>
        <v/>
      </c>
      <c r="I218" s="713" t="str">
        <f t="shared" si="303"/>
        <v/>
      </c>
      <c r="J218" s="713" t="str">
        <f t="shared" si="303"/>
        <v/>
      </c>
      <c r="K218" s="713" t="str">
        <f t="shared" si="268"/>
        <v/>
      </c>
      <c r="L218" s="713" t="str">
        <f t="shared" si="268"/>
        <v/>
      </c>
      <c r="M218" s="713" t="str">
        <f t="shared" ref="M218:N218" si="304">IF(M$26="011詰所建物",ROUND((M45+M45/(M$5-M$6)*M$6+M45/(M$5-M$6)*M$15)*$D$4,-3),"")</f>
        <v/>
      </c>
      <c r="N218" s="713" t="str">
        <f t="shared" si="304"/>
        <v/>
      </c>
    </row>
    <row r="219" spans="1:14" ht="13.5" hidden="1" customHeight="1">
      <c r="A219" s="701"/>
      <c r="C219" s="703">
        <v>10501120</v>
      </c>
      <c r="D219" s="704" t="s">
        <v>635</v>
      </c>
      <c r="E219" s="705"/>
      <c r="F219" s="706"/>
      <c r="G219" s="615">
        <f t="shared" si="292"/>
        <v>0</v>
      </c>
      <c r="H219" s="713" t="str">
        <f t="shared" ref="H219:J219" si="305">IF(H$26="011詰所建物",ROUND((H46+H46/(H$5-H$6)*H$6+H46/(H$5-H$6)*H$15)*$D$4,-3),"")</f>
        <v/>
      </c>
      <c r="I219" s="713" t="str">
        <f t="shared" si="305"/>
        <v/>
      </c>
      <c r="J219" s="713" t="str">
        <f t="shared" si="305"/>
        <v/>
      </c>
      <c r="K219" s="713" t="str">
        <f t="shared" si="268"/>
        <v/>
      </c>
      <c r="L219" s="713" t="str">
        <f t="shared" si="268"/>
        <v/>
      </c>
      <c r="M219" s="713" t="str">
        <f t="shared" ref="M219:N219" si="306">IF(M$26="011詰所建物",ROUND((M46+M46/(M$5-M$6)*M$6+M46/(M$5-M$6)*M$15)*$D$4,-3),"")</f>
        <v/>
      </c>
      <c r="N219" s="713" t="str">
        <f t="shared" si="306"/>
        <v/>
      </c>
    </row>
    <row r="220" spans="1:14" ht="13.5" hidden="1" customHeight="1">
      <c r="A220" s="701"/>
      <c r="C220" s="703">
        <v>10501121</v>
      </c>
      <c r="D220" s="704" t="s">
        <v>636</v>
      </c>
      <c r="E220" s="705"/>
      <c r="F220" s="706"/>
      <c r="G220" s="615">
        <f t="shared" si="292"/>
        <v>0</v>
      </c>
      <c r="H220" s="713" t="str">
        <f t="shared" ref="H220:J220" si="307">IF(H$26="011詰所建物",ROUND((H47+H47/(H$5-H$6)*H$6+H47/(H$5-H$6)*H$15)*$D$4,-3),"")</f>
        <v/>
      </c>
      <c r="I220" s="713" t="str">
        <f t="shared" si="307"/>
        <v/>
      </c>
      <c r="J220" s="713" t="str">
        <f t="shared" si="307"/>
        <v/>
      </c>
      <c r="K220" s="713" t="str">
        <f t="shared" si="268"/>
        <v/>
      </c>
      <c r="L220" s="713" t="str">
        <f t="shared" si="268"/>
        <v/>
      </c>
      <c r="M220" s="713" t="str">
        <f t="shared" ref="M220:N220" si="308">IF(M$26="011詰所建物",ROUND((M47+M47/(M$5-M$6)*M$6+M47/(M$5-M$6)*M$15)*$D$4,-3),"")</f>
        <v/>
      </c>
      <c r="N220" s="713" t="str">
        <f t="shared" si="308"/>
        <v/>
      </c>
    </row>
    <row r="221" spans="1:14" ht="13.5" hidden="1" customHeight="1">
      <c r="A221" s="701"/>
      <c r="C221" s="703">
        <v>10501122</v>
      </c>
      <c r="D221" s="704" t="s">
        <v>637</v>
      </c>
      <c r="E221" s="705"/>
      <c r="F221" s="706"/>
      <c r="G221" s="615">
        <f t="shared" si="292"/>
        <v>0</v>
      </c>
      <c r="H221" s="713" t="str">
        <f t="shared" ref="H221:J221" si="309">IF(H$26="011詰所建物",ROUND((H48+H48/(H$5-H$6)*H$6+H48/(H$5-H$6)*H$15)*$D$4,-3),"")</f>
        <v/>
      </c>
      <c r="I221" s="713" t="str">
        <f t="shared" si="309"/>
        <v/>
      </c>
      <c r="J221" s="713" t="str">
        <f t="shared" si="309"/>
        <v/>
      </c>
      <c r="K221" s="713" t="str">
        <f t="shared" si="268"/>
        <v/>
      </c>
      <c r="L221" s="713" t="str">
        <f t="shared" si="268"/>
        <v/>
      </c>
      <c r="M221" s="713" t="str">
        <f t="shared" ref="M221:N221" si="310">IF(M$26="011詰所建物",ROUND((M48+M48/(M$5-M$6)*M$6+M48/(M$5-M$6)*M$15)*$D$4,-3),"")</f>
        <v/>
      </c>
      <c r="N221" s="713" t="str">
        <f t="shared" si="310"/>
        <v/>
      </c>
    </row>
    <row r="222" spans="1:14" ht="13.5" hidden="1" customHeight="1">
      <c r="A222" s="701"/>
      <c r="C222" s="703">
        <v>10501123</v>
      </c>
      <c r="D222" s="704" t="s">
        <v>638</v>
      </c>
      <c r="E222" s="705"/>
      <c r="F222" s="706"/>
      <c r="G222" s="615">
        <f t="shared" si="292"/>
        <v>0</v>
      </c>
      <c r="H222" s="713" t="str">
        <f t="shared" ref="H222:J222" si="311">IF(H$26="011詰所建物",ROUND((H49+H49/(H$5-H$6)*H$6+H49/(H$5-H$6)*H$15)*$D$4,-3),"")</f>
        <v/>
      </c>
      <c r="I222" s="713" t="str">
        <f t="shared" si="311"/>
        <v/>
      </c>
      <c r="J222" s="713" t="str">
        <f t="shared" si="311"/>
        <v/>
      </c>
      <c r="K222" s="713" t="str">
        <f t="shared" si="268"/>
        <v/>
      </c>
      <c r="L222" s="713" t="str">
        <f t="shared" si="268"/>
        <v/>
      </c>
      <c r="M222" s="713" t="str">
        <f t="shared" ref="M222:N222" si="312">IF(M$26="011詰所建物",ROUND((M49+M49/(M$5-M$6)*M$6+M49/(M$5-M$6)*M$15)*$D$4,-3),"")</f>
        <v/>
      </c>
      <c r="N222" s="713" t="str">
        <f t="shared" si="312"/>
        <v/>
      </c>
    </row>
    <row r="223" spans="1:14" ht="13.5" hidden="1" customHeight="1">
      <c r="A223" s="701"/>
      <c r="C223" s="703">
        <v>10501124</v>
      </c>
      <c r="D223" s="704" t="s">
        <v>639</v>
      </c>
      <c r="E223" s="705"/>
      <c r="F223" s="706"/>
      <c r="G223" s="615">
        <f t="shared" si="292"/>
        <v>0</v>
      </c>
      <c r="H223" s="713" t="str">
        <f t="shared" ref="H223:J223" si="313">IF(H$26="011詰所建物",ROUND((H50+H50/(H$5-H$6)*H$6+H50/(H$5-H$6)*H$15)*$D$4,-3),"")</f>
        <v/>
      </c>
      <c r="I223" s="713" t="str">
        <f t="shared" si="313"/>
        <v/>
      </c>
      <c r="J223" s="713" t="str">
        <f t="shared" si="313"/>
        <v/>
      </c>
      <c r="K223" s="713" t="str">
        <f t="shared" si="268"/>
        <v/>
      </c>
      <c r="L223" s="713" t="str">
        <f t="shared" si="268"/>
        <v/>
      </c>
      <c r="M223" s="713" t="str">
        <f t="shared" ref="M223:N223" si="314">IF(M$26="011詰所建物",ROUND((M50+M50/(M$5-M$6)*M$6+M50/(M$5-M$6)*M$15)*$D$4,-3),"")</f>
        <v/>
      </c>
      <c r="N223" s="713" t="str">
        <f t="shared" si="314"/>
        <v/>
      </c>
    </row>
    <row r="224" spans="1:14" ht="13.5" hidden="1" customHeight="1">
      <c r="A224" s="701"/>
      <c r="C224" s="703">
        <v>10501125</v>
      </c>
      <c r="D224" s="704" t="s">
        <v>640</v>
      </c>
      <c r="E224" s="705"/>
      <c r="F224" s="706"/>
      <c r="G224" s="615">
        <f t="shared" si="292"/>
        <v>0</v>
      </c>
      <c r="H224" s="713" t="str">
        <f t="shared" ref="H224:J224" si="315">IF(H$26="011詰所建物",ROUND((H51+H51/(H$5-H$6)*H$6+H51/(H$5-H$6)*H$15)*$D$4,-3),"")</f>
        <v/>
      </c>
      <c r="I224" s="713" t="str">
        <f t="shared" si="315"/>
        <v/>
      </c>
      <c r="J224" s="713" t="str">
        <f t="shared" si="315"/>
        <v/>
      </c>
      <c r="K224" s="713" t="str">
        <f t="shared" si="268"/>
        <v/>
      </c>
      <c r="L224" s="713" t="str">
        <f t="shared" si="268"/>
        <v/>
      </c>
      <c r="M224" s="713" t="str">
        <f t="shared" ref="M224:N224" si="316">IF(M$26="011詰所建物",ROUND((M51+M51/(M$5-M$6)*M$6+M51/(M$5-M$6)*M$15)*$D$4,-3),"")</f>
        <v/>
      </c>
      <c r="N224" s="713" t="str">
        <f t="shared" si="316"/>
        <v/>
      </c>
    </row>
    <row r="225" spans="1:14" ht="13.5" hidden="1" customHeight="1">
      <c r="A225" s="701"/>
      <c r="B225" s="702"/>
      <c r="C225" s="708"/>
      <c r="D225" s="709"/>
      <c r="E225" s="710"/>
      <c r="F225" s="623"/>
      <c r="G225" s="615">
        <f t="shared" si="292"/>
        <v>0</v>
      </c>
      <c r="H225" s="712"/>
      <c r="I225" s="712"/>
      <c r="J225" s="712"/>
      <c r="K225" s="712"/>
      <c r="L225" s="712"/>
      <c r="M225" s="712"/>
      <c r="N225" s="712"/>
    </row>
    <row r="226" spans="1:14" ht="13.5" hidden="1" customHeight="1">
      <c r="A226" s="701"/>
      <c r="C226" s="703">
        <v>10501201</v>
      </c>
      <c r="D226" s="704" t="s">
        <v>641</v>
      </c>
      <c r="E226" s="705"/>
      <c r="F226" s="706"/>
      <c r="G226" s="615">
        <f t="shared" si="292"/>
        <v>0</v>
      </c>
      <c r="H226" s="713" t="str">
        <f t="shared" ref="H226:M226" si="317">IF(H$26="012事務所建物",ROUND((H27+H27/(H$5-H$6)*H$6+H27/(H$5-H$6)*H$15)*$D$4,-3),"")</f>
        <v/>
      </c>
      <c r="I226" s="713" t="str">
        <f t="shared" si="317"/>
        <v/>
      </c>
      <c r="J226" s="713" t="str">
        <f t="shared" si="317"/>
        <v/>
      </c>
      <c r="K226" s="713" t="str">
        <f t="shared" si="317"/>
        <v/>
      </c>
      <c r="L226" s="713" t="str">
        <f t="shared" si="317"/>
        <v/>
      </c>
      <c r="M226" s="713" t="str">
        <f t="shared" si="317"/>
        <v/>
      </c>
      <c r="N226" s="713" t="str">
        <f t="shared" ref="N226" si="318">IF(N$26="012事務所建物",ROUND((N27+N27/(N$5-N$6)*N$6+N27/(N$5-N$6)*N$15)*$D$4,-3),"")</f>
        <v/>
      </c>
    </row>
    <row r="227" spans="1:14" ht="13.5" hidden="1" customHeight="1">
      <c r="A227" s="701"/>
      <c r="C227" s="703">
        <v>10501202</v>
      </c>
      <c r="D227" s="704" t="s">
        <v>642</v>
      </c>
      <c r="E227" s="705"/>
      <c r="F227" s="706"/>
      <c r="G227" s="615">
        <f t="shared" si="292"/>
        <v>0</v>
      </c>
      <c r="H227" s="713" t="str">
        <f t="shared" ref="H227:J227" si="319">IF(H$26="012事務所建物",ROUND((H28+H28/(H$5-H$6)*H$6+H28/(H$5-H$6)*H$15)*$D$4,-3),"")</f>
        <v/>
      </c>
      <c r="I227" s="713" t="str">
        <f t="shared" si="319"/>
        <v/>
      </c>
      <c r="J227" s="713" t="str">
        <f t="shared" si="319"/>
        <v/>
      </c>
      <c r="K227" s="713" t="str">
        <f t="shared" ref="K227:L250" si="320">IF(K$26="012事務所建物",ROUND((K28+K28/(K$5-K$6)*K$6+K28/(K$5-K$6)*K$15)*$D$4,-3),"")</f>
        <v/>
      </c>
      <c r="L227" s="713" t="str">
        <f t="shared" si="320"/>
        <v/>
      </c>
      <c r="M227" s="713" t="str">
        <f t="shared" ref="M227:N227" si="321">IF(M$26="012事務所建物",ROUND((M28+M28/(M$5-M$6)*M$6+M28/(M$5-M$6)*M$15)*$D$4,-3),"")</f>
        <v/>
      </c>
      <c r="N227" s="713" t="str">
        <f t="shared" si="321"/>
        <v/>
      </c>
    </row>
    <row r="228" spans="1:14" ht="13.5" hidden="1" customHeight="1">
      <c r="A228" s="701"/>
      <c r="C228" s="703">
        <v>10501203</v>
      </c>
      <c r="D228" s="704" t="s">
        <v>643</v>
      </c>
      <c r="E228" s="705"/>
      <c r="F228" s="706"/>
      <c r="G228" s="615">
        <f t="shared" si="292"/>
        <v>0</v>
      </c>
      <c r="H228" s="713" t="str">
        <f t="shared" ref="H228:J228" si="322">IF(H$26="012事務所建物",ROUND((H29+H29/(H$5-H$6)*H$6+H29/(H$5-H$6)*H$15)*$D$4,-3),"")</f>
        <v/>
      </c>
      <c r="I228" s="713" t="str">
        <f t="shared" si="322"/>
        <v/>
      </c>
      <c r="J228" s="713" t="str">
        <f t="shared" si="322"/>
        <v/>
      </c>
      <c r="K228" s="713" t="str">
        <f t="shared" si="320"/>
        <v/>
      </c>
      <c r="L228" s="713" t="str">
        <f t="shared" si="320"/>
        <v/>
      </c>
      <c r="M228" s="713" t="str">
        <f t="shared" ref="M228:N228" si="323">IF(M$26="012事務所建物",ROUND((M29+M29/(M$5-M$6)*M$6+M29/(M$5-M$6)*M$15)*$D$4,-3),"")</f>
        <v/>
      </c>
      <c r="N228" s="713" t="str">
        <f t="shared" si="323"/>
        <v/>
      </c>
    </row>
    <row r="229" spans="1:14" ht="13.5" hidden="1" customHeight="1">
      <c r="A229" s="701"/>
      <c r="C229" s="703">
        <v>10501204</v>
      </c>
      <c r="D229" s="704" t="s">
        <v>644</v>
      </c>
      <c r="E229" s="705"/>
      <c r="F229" s="706"/>
      <c r="G229" s="615">
        <f t="shared" si="292"/>
        <v>0</v>
      </c>
      <c r="H229" s="713" t="str">
        <f t="shared" ref="H229:J229" si="324">IF(H$26="012事務所建物",ROUND((H30+H30/(H$5-H$6)*H$6+H30/(H$5-H$6)*H$15)*$D$4,-3),"")</f>
        <v/>
      </c>
      <c r="I229" s="713" t="str">
        <f t="shared" si="324"/>
        <v/>
      </c>
      <c r="J229" s="713" t="str">
        <f t="shared" si="324"/>
        <v/>
      </c>
      <c r="K229" s="713" t="str">
        <f t="shared" si="320"/>
        <v/>
      </c>
      <c r="L229" s="713" t="str">
        <f t="shared" si="320"/>
        <v/>
      </c>
      <c r="M229" s="713" t="str">
        <f t="shared" ref="M229:N229" si="325">IF(M$26="012事務所建物",ROUND((M30+M30/(M$5-M$6)*M$6+M30/(M$5-M$6)*M$15)*$D$4,-3),"")</f>
        <v/>
      </c>
      <c r="N229" s="713" t="str">
        <f t="shared" si="325"/>
        <v/>
      </c>
    </row>
    <row r="230" spans="1:14" ht="13.5" hidden="1" customHeight="1">
      <c r="A230" s="701"/>
      <c r="C230" s="703">
        <v>10501205</v>
      </c>
      <c r="D230" s="704" t="s">
        <v>645</v>
      </c>
      <c r="E230" s="705"/>
      <c r="F230" s="706"/>
      <c r="G230" s="615">
        <f t="shared" si="292"/>
        <v>0</v>
      </c>
      <c r="H230" s="713" t="str">
        <f t="shared" ref="H230:J230" si="326">IF(H$26="012事務所建物",ROUND((H31+H31/(H$5-H$6)*H$6+H31/(H$5-H$6)*H$15)*$D$4,-3),"")</f>
        <v/>
      </c>
      <c r="I230" s="713" t="str">
        <f t="shared" si="326"/>
        <v/>
      </c>
      <c r="J230" s="713" t="str">
        <f t="shared" si="326"/>
        <v/>
      </c>
      <c r="K230" s="713" t="str">
        <f t="shared" si="320"/>
        <v/>
      </c>
      <c r="L230" s="713" t="str">
        <f t="shared" si="320"/>
        <v/>
      </c>
      <c r="M230" s="713" t="str">
        <f t="shared" ref="M230:N230" si="327">IF(M$26="012事務所建物",ROUND((M31+M31/(M$5-M$6)*M$6+M31/(M$5-M$6)*M$15)*$D$4,-3),"")</f>
        <v/>
      </c>
      <c r="N230" s="713" t="str">
        <f t="shared" si="327"/>
        <v/>
      </c>
    </row>
    <row r="231" spans="1:14" ht="13.5" hidden="1" customHeight="1">
      <c r="A231" s="701"/>
      <c r="C231" s="703">
        <v>10501206</v>
      </c>
      <c r="D231" s="704" t="s">
        <v>646</v>
      </c>
      <c r="E231" s="705"/>
      <c r="F231" s="706"/>
      <c r="G231" s="615">
        <f t="shared" si="292"/>
        <v>0</v>
      </c>
      <c r="H231" s="713" t="str">
        <f t="shared" ref="H231:J231" si="328">IF(H$26="012事務所建物",ROUND((H32+H32/(H$5-H$6)*H$6+H32/(H$5-H$6)*H$15)*$D$4,-3),"")</f>
        <v/>
      </c>
      <c r="I231" s="713" t="str">
        <f t="shared" si="328"/>
        <v/>
      </c>
      <c r="J231" s="713" t="str">
        <f t="shared" si="328"/>
        <v/>
      </c>
      <c r="K231" s="713" t="str">
        <f t="shared" si="320"/>
        <v/>
      </c>
      <c r="L231" s="713" t="str">
        <f t="shared" si="320"/>
        <v/>
      </c>
      <c r="M231" s="713" t="str">
        <f t="shared" ref="M231:N231" si="329">IF(M$26="012事務所建物",ROUND((M32+M32/(M$5-M$6)*M$6+M32/(M$5-M$6)*M$15)*$D$4,-3),"")</f>
        <v/>
      </c>
      <c r="N231" s="713" t="str">
        <f t="shared" si="329"/>
        <v/>
      </c>
    </row>
    <row r="232" spans="1:14" ht="13.5" hidden="1" customHeight="1">
      <c r="A232" s="701"/>
      <c r="C232" s="703">
        <v>10501207</v>
      </c>
      <c r="D232" s="704" t="s">
        <v>647</v>
      </c>
      <c r="E232" s="705"/>
      <c r="F232" s="706"/>
      <c r="G232" s="615">
        <f t="shared" si="292"/>
        <v>0</v>
      </c>
      <c r="H232" s="713" t="str">
        <f t="shared" ref="H232:J232" si="330">IF(H$26="012事務所建物",ROUND((H33+H33/(H$5-H$6)*H$6+H33/(H$5-H$6)*H$15)*$D$4,-3),"")</f>
        <v/>
      </c>
      <c r="I232" s="713" t="str">
        <f t="shared" si="330"/>
        <v/>
      </c>
      <c r="J232" s="713" t="str">
        <f t="shared" si="330"/>
        <v/>
      </c>
      <c r="K232" s="713" t="str">
        <f t="shared" si="320"/>
        <v/>
      </c>
      <c r="L232" s="713" t="str">
        <f t="shared" si="320"/>
        <v/>
      </c>
      <c r="M232" s="713" t="str">
        <f t="shared" ref="M232:N232" si="331">IF(M$26="012事務所建物",ROUND((M33+M33/(M$5-M$6)*M$6+M33/(M$5-M$6)*M$15)*$D$4,-3),"")</f>
        <v/>
      </c>
      <c r="N232" s="713" t="str">
        <f t="shared" si="331"/>
        <v/>
      </c>
    </row>
    <row r="233" spans="1:14" ht="13.5" hidden="1" customHeight="1">
      <c r="A233" s="701"/>
      <c r="C233" s="703">
        <v>10501208</v>
      </c>
      <c r="D233" s="704" t="s">
        <v>648</v>
      </c>
      <c r="E233" s="705"/>
      <c r="F233" s="706"/>
      <c r="G233" s="615">
        <f t="shared" si="292"/>
        <v>0</v>
      </c>
      <c r="H233" s="713" t="str">
        <f t="shared" ref="H233:J233" si="332">IF(H$26="012事務所建物",ROUND((H34+H34/(H$5-H$6)*H$6+H34/(H$5-H$6)*H$15)*$D$4,-3),"")</f>
        <v/>
      </c>
      <c r="I233" s="713" t="str">
        <f t="shared" si="332"/>
        <v/>
      </c>
      <c r="J233" s="713" t="str">
        <f t="shared" si="332"/>
        <v/>
      </c>
      <c r="K233" s="713" t="str">
        <f t="shared" si="320"/>
        <v/>
      </c>
      <c r="L233" s="713" t="str">
        <f t="shared" si="320"/>
        <v/>
      </c>
      <c r="M233" s="713" t="str">
        <f t="shared" ref="M233:N233" si="333">IF(M$26="012事務所建物",ROUND((M34+M34/(M$5-M$6)*M$6+M34/(M$5-M$6)*M$15)*$D$4,-3),"")</f>
        <v/>
      </c>
      <c r="N233" s="713" t="str">
        <f t="shared" si="333"/>
        <v/>
      </c>
    </row>
    <row r="234" spans="1:14" ht="13.5" hidden="1" customHeight="1">
      <c r="A234" s="701"/>
      <c r="C234" s="703">
        <v>10501209</v>
      </c>
      <c r="D234" s="704" t="s">
        <v>649</v>
      </c>
      <c r="E234" s="705"/>
      <c r="F234" s="706"/>
      <c r="G234" s="615">
        <f t="shared" si="292"/>
        <v>0</v>
      </c>
      <c r="H234" s="713" t="str">
        <f t="shared" ref="H234:J234" si="334">IF(H$26="012事務所建物",ROUND((H35+H35/(H$5-H$6)*H$6+H35/(H$5-H$6)*H$15)*$D$4,-3),"")</f>
        <v/>
      </c>
      <c r="I234" s="713" t="str">
        <f t="shared" si="334"/>
        <v/>
      </c>
      <c r="J234" s="713" t="str">
        <f t="shared" si="334"/>
        <v/>
      </c>
      <c r="K234" s="713" t="str">
        <f t="shared" si="320"/>
        <v/>
      </c>
      <c r="L234" s="713" t="str">
        <f t="shared" si="320"/>
        <v/>
      </c>
      <c r="M234" s="713" t="str">
        <f t="shared" ref="M234:N234" si="335">IF(M$26="012事務所建物",ROUND((M35+M35/(M$5-M$6)*M$6+M35/(M$5-M$6)*M$15)*$D$4,-3),"")</f>
        <v/>
      </c>
      <c r="N234" s="713" t="str">
        <f t="shared" si="335"/>
        <v/>
      </c>
    </row>
    <row r="235" spans="1:14" ht="13.5" hidden="1" customHeight="1">
      <c r="A235" s="701"/>
      <c r="C235" s="703">
        <v>10501210</v>
      </c>
      <c r="D235" s="704" t="s">
        <v>650</v>
      </c>
      <c r="E235" s="705"/>
      <c r="F235" s="706"/>
      <c r="G235" s="615">
        <f t="shared" si="292"/>
        <v>0</v>
      </c>
      <c r="H235" s="713" t="str">
        <f t="shared" ref="H235:J235" si="336">IF(H$26="012事務所建物",ROUND((H36+H36/(H$5-H$6)*H$6+H36/(H$5-H$6)*H$15)*$D$4,-3),"")</f>
        <v/>
      </c>
      <c r="I235" s="713" t="str">
        <f t="shared" si="336"/>
        <v/>
      </c>
      <c r="J235" s="713" t="str">
        <f t="shared" si="336"/>
        <v/>
      </c>
      <c r="K235" s="713" t="str">
        <f t="shared" si="320"/>
        <v/>
      </c>
      <c r="L235" s="713" t="str">
        <f t="shared" si="320"/>
        <v/>
      </c>
      <c r="M235" s="713" t="str">
        <f t="shared" ref="M235:N235" si="337">IF(M$26="012事務所建物",ROUND((M36+M36/(M$5-M$6)*M$6+M36/(M$5-M$6)*M$15)*$D$4,-3),"")</f>
        <v/>
      </c>
      <c r="N235" s="713" t="str">
        <f t="shared" si="337"/>
        <v/>
      </c>
    </row>
    <row r="236" spans="1:14" ht="13.5" hidden="1" customHeight="1">
      <c r="A236" s="701"/>
      <c r="C236" s="703">
        <v>10501211</v>
      </c>
      <c r="D236" s="704" t="s">
        <v>651</v>
      </c>
      <c r="E236" s="705"/>
      <c r="F236" s="706"/>
      <c r="G236" s="615">
        <f t="shared" si="292"/>
        <v>0</v>
      </c>
      <c r="H236" s="713" t="str">
        <f t="shared" ref="H236:J236" si="338">IF(H$26="012事務所建物",ROUND((H37+H37/(H$5-H$6)*H$6+H37/(H$5-H$6)*H$15)*$D$4,-3),"")</f>
        <v/>
      </c>
      <c r="I236" s="713" t="str">
        <f t="shared" si="338"/>
        <v/>
      </c>
      <c r="J236" s="713" t="str">
        <f t="shared" si="338"/>
        <v/>
      </c>
      <c r="K236" s="713" t="str">
        <f t="shared" si="320"/>
        <v/>
      </c>
      <c r="L236" s="713" t="str">
        <f t="shared" si="320"/>
        <v/>
      </c>
      <c r="M236" s="713" t="str">
        <f t="shared" ref="M236:N236" si="339">IF(M$26="012事務所建物",ROUND((M37+M37/(M$5-M$6)*M$6+M37/(M$5-M$6)*M$15)*$D$4,-3),"")</f>
        <v/>
      </c>
      <c r="N236" s="713" t="str">
        <f t="shared" si="339"/>
        <v/>
      </c>
    </row>
    <row r="237" spans="1:14" ht="13.5" hidden="1" customHeight="1">
      <c r="A237" s="701"/>
      <c r="C237" s="703">
        <v>10501212</v>
      </c>
      <c r="D237" s="704" t="s">
        <v>652</v>
      </c>
      <c r="E237" s="705"/>
      <c r="F237" s="706"/>
      <c r="G237" s="615">
        <f t="shared" si="292"/>
        <v>0</v>
      </c>
      <c r="H237" s="713" t="str">
        <f t="shared" ref="H237:J237" si="340">IF(H$26="012事務所建物",ROUND((H38+H38/(H$5-H$6)*H$6+H38/(H$5-H$6)*H$15)*$D$4,-3),"")</f>
        <v/>
      </c>
      <c r="I237" s="713" t="str">
        <f t="shared" si="340"/>
        <v/>
      </c>
      <c r="J237" s="713" t="str">
        <f t="shared" si="340"/>
        <v/>
      </c>
      <c r="K237" s="713" t="str">
        <f t="shared" si="320"/>
        <v/>
      </c>
      <c r="L237" s="713" t="str">
        <f t="shared" si="320"/>
        <v/>
      </c>
      <c r="M237" s="713" t="str">
        <f t="shared" ref="M237:N237" si="341">IF(M$26="012事務所建物",ROUND((M38+M38/(M$5-M$6)*M$6+M38/(M$5-M$6)*M$15)*$D$4,-3),"")</f>
        <v/>
      </c>
      <c r="N237" s="713" t="str">
        <f t="shared" si="341"/>
        <v/>
      </c>
    </row>
    <row r="238" spans="1:14" ht="13.5" hidden="1" customHeight="1">
      <c r="A238" s="701"/>
      <c r="C238" s="703">
        <v>10501213</v>
      </c>
      <c r="D238" s="704" t="s">
        <v>653</v>
      </c>
      <c r="E238" s="705"/>
      <c r="F238" s="706"/>
      <c r="G238" s="615">
        <f t="shared" si="292"/>
        <v>0</v>
      </c>
      <c r="H238" s="713" t="str">
        <f t="shared" ref="H238:J238" si="342">IF(H$26="012事務所建物",ROUND((H39+H39/(H$5-H$6)*H$6+H39/(H$5-H$6)*H$15)*$D$4,-3),"")</f>
        <v/>
      </c>
      <c r="I238" s="713" t="str">
        <f t="shared" si="342"/>
        <v/>
      </c>
      <c r="J238" s="713" t="str">
        <f t="shared" si="342"/>
        <v/>
      </c>
      <c r="K238" s="713" t="str">
        <f t="shared" si="320"/>
        <v/>
      </c>
      <c r="L238" s="713" t="str">
        <f t="shared" si="320"/>
        <v/>
      </c>
      <c r="M238" s="713" t="str">
        <f t="shared" ref="M238:N238" si="343">IF(M$26="012事務所建物",ROUND((M39+M39/(M$5-M$6)*M$6+M39/(M$5-M$6)*M$15)*$D$4,-3),"")</f>
        <v/>
      </c>
      <c r="N238" s="713" t="str">
        <f t="shared" si="343"/>
        <v/>
      </c>
    </row>
    <row r="239" spans="1:14" ht="13.5" hidden="1" customHeight="1">
      <c r="A239" s="701"/>
      <c r="C239" s="703">
        <v>10501214</v>
      </c>
      <c r="D239" s="704" t="s">
        <v>654</v>
      </c>
      <c r="E239" s="705"/>
      <c r="F239" s="706"/>
      <c r="G239" s="615">
        <f t="shared" si="292"/>
        <v>0</v>
      </c>
      <c r="H239" s="713" t="str">
        <f t="shared" ref="H239:J239" si="344">IF(H$26="012事務所建物",ROUND((H40+H40/(H$5-H$6)*H$6+H40/(H$5-H$6)*H$15)*$D$4,-3),"")</f>
        <v/>
      </c>
      <c r="I239" s="713" t="str">
        <f t="shared" si="344"/>
        <v/>
      </c>
      <c r="J239" s="713" t="str">
        <f t="shared" si="344"/>
        <v/>
      </c>
      <c r="K239" s="713" t="str">
        <f t="shared" si="320"/>
        <v/>
      </c>
      <c r="L239" s="713" t="str">
        <f t="shared" si="320"/>
        <v/>
      </c>
      <c r="M239" s="713" t="str">
        <f t="shared" ref="M239:N239" si="345">IF(M$26="012事務所建物",ROUND((M40+M40/(M$5-M$6)*M$6+M40/(M$5-M$6)*M$15)*$D$4,-3),"")</f>
        <v/>
      </c>
      <c r="N239" s="713" t="str">
        <f t="shared" si="345"/>
        <v/>
      </c>
    </row>
    <row r="240" spans="1:14" ht="13.5" hidden="1" customHeight="1">
      <c r="A240" s="701"/>
      <c r="C240" s="703">
        <v>10501215</v>
      </c>
      <c r="D240" s="704" t="s">
        <v>655</v>
      </c>
      <c r="E240" s="705"/>
      <c r="F240" s="706"/>
      <c r="G240" s="615">
        <f t="shared" si="292"/>
        <v>0</v>
      </c>
      <c r="H240" s="713" t="str">
        <f t="shared" ref="H240:J240" si="346">IF(H$26="012事務所建物",ROUND((H41+H41/(H$5-H$6)*H$6+H41/(H$5-H$6)*H$15)*$D$4,-3),"")</f>
        <v/>
      </c>
      <c r="I240" s="713" t="str">
        <f t="shared" si="346"/>
        <v/>
      </c>
      <c r="J240" s="713" t="str">
        <f t="shared" si="346"/>
        <v/>
      </c>
      <c r="K240" s="713" t="str">
        <f t="shared" si="320"/>
        <v/>
      </c>
      <c r="L240" s="713" t="str">
        <f t="shared" si="320"/>
        <v/>
      </c>
      <c r="M240" s="713" t="str">
        <f t="shared" ref="M240:N240" si="347">IF(M$26="012事務所建物",ROUND((M41+M41/(M$5-M$6)*M$6+M41/(M$5-M$6)*M$15)*$D$4,-3),"")</f>
        <v/>
      </c>
      <c r="N240" s="713" t="str">
        <f t="shared" si="347"/>
        <v/>
      </c>
    </row>
    <row r="241" spans="1:14" ht="13.5" hidden="1" customHeight="1">
      <c r="A241" s="701"/>
      <c r="C241" s="703">
        <v>10501216</v>
      </c>
      <c r="D241" s="704" t="s">
        <v>656</v>
      </c>
      <c r="E241" s="705"/>
      <c r="F241" s="706"/>
      <c r="G241" s="615">
        <f t="shared" si="292"/>
        <v>0</v>
      </c>
      <c r="H241" s="713" t="str">
        <f t="shared" ref="H241:J241" si="348">IF(H$26="012事務所建物",ROUND((H42+H42/(H$5-H$6)*H$6+H42/(H$5-H$6)*H$15)*$D$4,-3),"")</f>
        <v/>
      </c>
      <c r="I241" s="713" t="str">
        <f t="shared" si="348"/>
        <v/>
      </c>
      <c r="J241" s="713" t="str">
        <f t="shared" si="348"/>
        <v/>
      </c>
      <c r="K241" s="713" t="str">
        <f t="shared" si="320"/>
        <v/>
      </c>
      <c r="L241" s="713" t="str">
        <f t="shared" si="320"/>
        <v/>
      </c>
      <c r="M241" s="713" t="str">
        <f t="shared" ref="M241:N241" si="349">IF(M$26="012事務所建物",ROUND((M42+M42/(M$5-M$6)*M$6+M42/(M$5-M$6)*M$15)*$D$4,-3),"")</f>
        <v/>
      </c>
      <c r="N241" s="713" t="str">
        <f t="shared" si="349"/>
        <v/>
      </c>
    </row>
    <row r="242" spans="1:14" ht="13.5" hidden="1" customHeight="1">
      <c r="A242" s="701"/>
      <c r="C242" s="703">
        <v>10501217</v>
      </c>
      <c r="D242" s="704" t="s">
        <v>657</v>
      </c>
      <c r="E242" s="705"/>
      <c r="F242" s="706"/>
      <c r="G242" s="615">
        <f t="shared" si="292"/>
        <v>0</v>
      </c>
      <c r="H242" s="713" t="str">
        <f t="shared" ref="H242:J242" si="350">IF(H$26="012事務所建物",ROUND((H43+H43/(H$5-H$6)*H$6+H43/(H$5-H$6)*H$15)*$D$4,-3),"")</f>
        <v/>
      </c>
      <c r="I242" s="713" t="str">
        <f t="shared" si="350"/>
        <v/>
      </c>
      <c r="J242" s="713" t="str">
        <f t="shared" si="350"/>
        <v/>
      </c>
      <c r="K242" s="713" t="str">
        <f t="shared" si="320"/>
        <v/>
      </c>
      <c r="L242" s="713" t="str">
        <f t="shared" si="320"/>
        <v/>
      </c>
      <c r="M242" s="713" t="str">
        <f t="shared" ref="M242:N242" si="351">IF(M$26="012事務所建物",ROUND((M43+M43/(M$5-M$6)*M$6+M43/(M$5-M$6)*M$15)*$D$4,-3),"")</f>
        <v/>
      </c>
      <c r="N242" s="713" t="str">
        <f t="shared" si="351"/>
        <v/>
      </c>
    </row>
    <row r="243" spans="1:14" ht="13.5" hidden="1" customHeight="1">
      <c r="A243" s="701"/>
      <c r="C243" s="703">
        <v>10501218</v>
      </c>
      <c r="D243" s="704" t="s">
        <v>658</v>
      </c>
      <c r="E243" s="705"/>
      <c r="F243" s="706"/>
      <c r="G243" s="615">
        <f t="shared" si="292"/>
        <v>0</v>
      </c>
      <c r="H243" s="713" t="str">
        <f t="shared" ref="H243:J243" si="352">IF(H$26="012事務所建物",ROUND((H44+H44/(H$5-H$6)*H$6+H44/(H$5-H$6)*H$15)*$D$4,-3),"")</f>
        <v/>
      </c>
      <c r="I243" s="713" t="str">
        <f t="shared" si="352"/>
        <v/>
      </c>
      <c r="J243" s="713" t="str">
        <f t="shared" si="352"/>
        <v/>
      </c>
      <c r="K243" s="713" t="str">
        <f t="shared" si="320"/>
        <v/>
      </c>
      <c r="L243" s="713" t="str">
        <f t="shared" si="320"/>
        <v/>
      </c>
      <c r="M243" s="713" t="str">
        <f t="shared" ref="M243:N243" si="353">IF(M$26="012事務所建物",ROUND((M44+M44/(M$5-M$6)*M$6+M44/(M$5-M$6)*M$15)*$D$4,-3),"")</f>
        <v/>
      </c>
      <c r="N243" s="713" t="str">
        <f t="shared" si="353"/>
        <v/>
      </c>
    </row>
    <row r="244" spans="1:14" ht="13.5" hidden="1" customHeight="1">
      <c r="A244" s="701"/>
      <c r="C244" s="703">
        <v>10501219</v>
      </c>
      <c r="D244" s="704" t="s">
        <v>659</v>
      </c>
      <c r="E244" s="705"/>
      <c r="F244" s="706"/>
      <c r="G244" s="615">
        <f t="shared" si="292"/>
        <v>0</v>
      </c>
      <c r="H244" s="713" t="str">
        <f t="shared" ref="H244:J244" si="354">IF(H$26="012事務所建物",ROUND((H45+H45/(H$5-H$6)*H$6+H45/(H$5-H$6)*H$15)*$D$4,-3),"")</f>
        <v/>
      </c>
      <c r="I244" s="713" t="str">
        <f t="shared" si="354"/>
        <v/>
      </c>
      <c r="J244" s="713" t="str">
        <f t="shared" si="354"/>
        <v/>
      </c>
      <c r="K244" s="713" t="str">
        <f t="shared" si="320"/>
        <v/>
      </c>
      <c r="L244" s="713" t="str">
        <f t="shared" si="320"/>
        <v/>
      </c>
      <c r="M244" s="713" t="str">
        <f t="shared" ref="M244:N244" si="355">IF(M$26="012事務所建物",ROUND((M45+M45/(M$5-M$6)*M$6+M45/(M$5-M$6)*M$15)*$D$4,-3),"")</f>
        <v/>
      </c>
      <c r="N244" s="713" t="str">
        <f t="shared" si="355"/>
        <v/>
      </c>
    </row>
    <row r="245" spans="1:14" ht="13.5" hidden="1" customHeight="1">
      <c r="A245" s="701"/>
      <c r="C245" s="703">
        <v>10501220</v>
      </c>
      <c r="D245" s="704" t="s">
        <v>660</v>
      </c>
      <c r="E245" s="705"/>
      <c r="F245" s="706"/>
      <c r="G245" s="615">
        <f t="shared" si="292"/>
        <v>0</v>
      </c>
      <c r="H245" s="713" t="str">
        <f t="shared" ref="H245:J245" si="356">IF(H$26="012事務所建物",ROUND((H46+H46/(H$5-H$6)*H$6+H46/(H$5-H$6)*H$15)*$D$4,-3),"")</f>
        <v/>
      </c>
      <c r="I245" s="713" t="str">
        <f t="shared" si="356"/>
        <v/>
      </c>
      <c r="J245" s="713" t="str">
        <f t="shared" si="356"/>
        <v/>
      </c>
      <c r="K245" s="713" t="str">
        <f t="shared" si="320"/>
        <v/>
      </c>
      <c r="L245" s="713" t="str">
        <f t="shared" si="320"/>
        <v/>
      </c>
      <c r="M245" s="713" t="str">
        <f t="shared" ref="M245:N245" si="357">IF(M$26="012事務所建物",ROUND((M46+M46/(M$5-M$6)*M$6+M46/(M$5-M$6)*M$15)*$D$4,-3),"")</f>
        <v/>
      </c>
      <c r="N245" s="713" t="str">
        <f t="shared" si="357"/>
        <v/>
      </c>
    </row>
    <row r="246" spans="1:14" ht="13.5" hidden="1" customHeight="1">
      <c r="A246" s="701"/>
      <c r="C246" s="703">
        <v>10501221</v>
      </c>
      <c r="D246" s="704" t="s">
        <v>661</v>
      </c>
      <c r="E246" s="705"/>
      <c r="F246" s="706"/>
      <c r="G246" s="615">
        <f t="shared" si="292"/>
        <v>0</v>
      </c>
      <c r="H246" s="713" t="str">
        <f t="shared" ref="H246:J246" si="358">IF(H$26="012事務所建物",ROUND((H47+H47/(H$5-H$6)*H$6+H47/(H$5-H$6)*H$15)*$D$4,-3),"")</f>
        <v/>
      </c>
      <c r="I246" s="713" t="str">
        <f t="shared" si="358"/>
        <v/>
      </c>
      <c r="J246" s="713" t="str">
        <f t="shared" si="358"/>
        <v/>
      </c>
      <c r="K246" s="713" t="str">
        <f t="shared" si="320"/>
        <v/>
      </c>
      <c r="L246" s="713" t="str">
        <f t="shared" si="320"/>
        <v/>
      </c>
      <c r="M246" s="713" t="str">
        <f t="shared" ref="M246:N246" si="359">IF(M$26="012事務所建物",ROUND((M47+M47/(M$5-M$6)*M$6+M47/(M$5-M$6)*M$15)*$D$4,-3),"")</f>
        <v/>
      </c>
      <c r="N246" s="713" t="str">
        <f t="shared" si="359"/>
        <v/>
      </c>
    </row>
    <row r="247" spans="1:14" ht="13.5" hidden="1" customHeight="1">
      <c r="A247" s="701"/>
      <c r="C247" s="703">
        <v>10501222</v>
      </c>
      <c r="D247" s="704" t="s">
        <v>662</v>
      </c>
      <c r="E247" s="705"/>
      <c r="F247" s="706"/>
      <c r="G247" s="615">
        <f t="shared" si="292"/>
        <v>0</v>
      </c>
      <c r="H247" s="713" t="str">
        <f t="shared" ref="H247:J247" si="360">IF(H$26="012事務所建物",ROUND((H48+H48/(H$5-H$6)*H$6+H48/(H$5-H$6)*H$15)*$D$4,-3),"")</f>
        <v/>
      </c>
      <c r="I247" s="713" t="str">
        <f t="shared" si="360"/>
        <v/>
      </c>
      <c r="J247" s="713" t="str">
        <f t="shared" si="360"/>
        <v/>
      </c>
      <c r="K247" s="713" t="str">
        <f t="shared" si="320"/>
        <v/>
      </c>
      <c r="L247" s="713" t="str">
        <f t="shared" si="320"/>
        <v/>
      </c>
      <c r="M247" s="713" t="str">
        <f t="shared" ref="M247:N247" si="361">IF(M$26="012事務所建物",ROUND((M48+M48/(M$5-M$6)*M$6+M48/(M$5-M$6)*M$15)*$D$4,-3),"")</f>
        <v/>
      </c>
      <c r="N247" s="713" t="str">
        <f t="shared" si="361"/>
        <v/>
      </c>
    </row>
    <row r="248" spans="1:14" ht="13.5" hidden="1" customHeight="1">
      <c r="A248" s="701"/>
      <c r="C248" s="703">
        <v>10501223</v>
      </c>
      <c r="D248" s="704" t="s">
        <v>663</v>
      </c>
      <c r="E248" s="705"/>
      <c r="F248" s="706"/>
      <c r="G248" s="615">
        <f t="shared" si="292"/>
        <v>0</v>
      </c>
      <c r="H248" s="713" t="str">
        <f t="shared" ref="H248:J248" si="362">IF(H$26="012事務所建物",ROUND((H49+H49/(H$5-H$6)*H$6+H49/(H$5-H$6)*H$15)*$D$4,-3),"")</f>
        <v/>
      </c>
      <c r="I248" s="713" t="str">
        <f t="shared" si="362"/>
        <v/>
      </c>
      <c r="J248" s="713" t="str">
        <f t="shared" si="362"/>
        <v/>
      </c>
      <c r="K248" s="713" t="str">
        <f t="shared" si="320"/>
        <v/>
      </c>
      <c r="L248" s="713" t="str">
        <f t="shared" si="320"/>
        <v/>
      </c>
      <c r="M248" s="713" t="str">
        <f t="shared" ref="M248:N248" si="363">IF(M$26="012事務所建物",ROUND((M49+M49/(M$5-M$6)*M$6+M49/(M$5-M$6)*M$15)*$D$4,-3),"")</f>
        <v/>
      </c>
      <c r="N248" s="713" t="str">
        <f t="shared" si="363"/>
        <v/>
      </c>
    </row>
    <row r="249" spans="1:14" ht="13.5" hidden="1" customHeight="1">
      <c r="A249" s="701"/>
      <c r="C249" s="703">
        <v>10501224</v>
      </c>
      <c r="D249" s="704" t="s">
        <v>664</v>
      </c>
      <c r="E249" s="705"/>
      <c r="F249" s="706"/>
      <c r="G249" s="615">
        <f t="shared" si="292"/>
        <v>0</v>
      </c>
      <c r="H249" s="713" t="str">
        <f t="shared" ref="H249:J249" si="364">IF(H$26="012事務所建物",ROUND((H50+H50/(H$5-H$6)*H$6+H50/(H$5-H$6)*H$15)*$D$4,-3),"")</f>
        <v/>
      </c>
      <c r="I249" s="713" t="str">
        <f t="shared" si="364"/>
        <v/>
      </c>
      <c r="J249" s="713" t="str">
        <f t="shared" si="364"/>
        <v/>
      </c>
      <c r="K249" s="713" t="str">
        <f t="shared" si="320"/>
        <v/>
      </c>
      <c r="L249" s="713" t="str">
        <f t="shared" si="320"/>
        <v/>
      </c>
      <c r="M249" s="713" t="str">
        <f t="shared" ref="M249:N249" si="365">IF(M$26="012事務所建物",ROUND((M50+M50/(M$5-M$6)*M$6+M50/(M$5-M$6)*M$15)*$D$4,-3),"")</f>
        <v/>
      </c>
      <c r="N249" s="713" t="str">
        <f t="shared" si="365"/>
        <v/>
      </c>
    </row>
    <row r="250" spans="1:14" ht="13.5" hidden="1" customHeight="1">
      <c r="A250" s="701"/>
      <c r="C250" s="703">
        <v>10501225</v>
      </c>
      <c r="D250" s="704" t="s">
        <v>665</v>
      </c>
      <c r="E250" s="705"/>
      <c r="F250" s="706"/>
      <c r="G250" s="615">
        <f t="shared" si="292"/>
        <v>0</v>
      </c>
      <c r="H250" s="713" t="str">
        <f t="shared" ref="H250:J250" si="366">IF(H$26="012事務所建物",ROUND((H51+H51/(H$5-H$6)*H$6+H51/(H$5-H$6)*H$15)*$D$4,-3),"")</f>
        <v/>
      </c>
      <c r="I250" s="713" t="str">
        <f t="shared" si="366"/>
        <v/>
      </c>
      <c r="J250" s="713" t="str">
        <f t="shared" si="366"/>
        <v/>
      </c>
      <c r="K250" s="713" t="str">
        <f t="shared" si="320"/>
        <v/>
      </c>
      <c r="L250" s="713" t="str">
        <f t="shared" si="320"/>
        <v/>
      </c>
      <c r="M250" s="713" t="str">
        <f t="shared" ref="M250:N250" si="367">IF(M$26="012事務所建物",ROUND((M51+M51/(M$5-M$6)*M$6+M51/(M$5-M$6)*M$15)*$D$4,-3),"")</f>
        <v/>
      </c>
      <c r="N250" s="713" t="str">
        <f t="shared" si="367"/>
        <v/>
      </c>
    </row>
    <row r="251" spans="1:14" ht="13.5" hidden="1" customHeight="1">
      <c r="A251" s="701"/>
      <c r="B251" s="702"/>
      <c r="C251" s="708"/>
      <c r="D251" s="709"/>
      <c r="E251" s="710"/>
      <c r="F251" s="623"/>
      <c r="G251" s="615">
        <f t="shared" si="292"/>
        <v>0</v>
      </c>
      <c r="H251" s="712" t="str">
        <f t="shared" ref="H251:M251" si="368">IF(H$26="012事務所建物",ROUND(H52+H52/(H$5-H$6)*H$6+H52/(H$5-H$6)*H$15,-3),"")</f>
        <v/>
      </c>
      <c r="I251" s="712" t="str">
        <f t="shared" si="368"/>
        <v/>
      </c>
      <c r="J251" s="712" t="str">
        <f t="shared" si="368"/>
        <v/>
      </c>
      <c r="K251" s="712" t="str">
        <f t="shared" si="368"/>
        <v/>
      </c>
      <c r="L251" s="712" t="str">
        <f t="shared" si="368"/>
        <v/>
      </c>
      <c r="M251" s="712" t="str">
        <f t="shared" si="368"/>
        <v/>
      </c>
      <c r="N251" s="712" t="str">
        <f t="shared" ref="N251" si="369">IF(N$26="012事務所建物",ROUND(N52+N52/(N$5-N$6)*N$6+N52/(N$5-N$6)*N$15,-3),"")</f>
        <v/>
      </c>
    </row>
    <row r="252" spans="1:14" ht="13.5" hidden="1" customHeight="1">
      <c r="A252" s="701"/>
      <c r="C252" s="703">
        <v>10501301</v>
      </c>
      <c r="D252" s="704" t="s">
        <v>666</v>
      </c>
      <c r="E252" s="705"/>
      <c r="F252" s="706"/>
      <c r="G252" s="615">
        <f t="shared" si="292"/>
        <v>0</v>
      </c>
      <c r="H252" s="713" t="str">
        <f t="shared" ref="H252:M252" si="370">IF(H$26="013社宅及び寮建物",ROUND((H27+H27/(H$5-H$6)*H$6+H27/(H$5-H$6)*H$15)*$D$4,-3),"")</f>
        <v/>
      </c>
      <c r="I252" s="713" t="str">
        <f t="shared" si="370"/>
        <v/>
      </c>
      <c r="J252" s="713" t="str">
        <f t="shared" si="370"/>
        <v/>
      </c>
      <c r="K252" s="713" t="str">
        <f t="shared" si="370"/>
        <v/>
      </c>
      <c r="L252" s="713" t="str">
        <f t="shared" si="370"/>
        <v/>
      </c>
      <c r="M252" s="713" t="str">
        <f t="shared" si="370"/>
        <v/>
      </c>
      <c r="N252" s="713" t="str">
        <f t="shared" ref="N252" si="371">IF(N$26="013社宅及び寮建物",ROUND((N27+N27/(N$5-N$6)*N$6+N27/(N$5-N$6)*N$15)*$D$4,-3),"")</f>
        <v/>
      </c>
    </row>
    <row r="253" spans="1:14" ht="13.5" hidden="1" customHeight="1">
      <c r="A253" s="701"/>
      <c r="C253" s="703">
        <v>10501302</v>
      </c>
      <c r="D253" s="704" t="s">
        <v>667</v>
      </c>
      <c r="E253" s="705"/>
      <c r="F253" s="706"/>
      <c r="G253" s="615">
        <f t="shared" si="292"/>
        <v>0</v>
      </c>
      <c r="H253" s="713" t="str">
        <f t="shared" ref="H253:J253" si="372">IF(H$26="013社宅及び寮建物",ROUND((H28+H28/(H$5-H$6)*H$6+H28/(H$5-H$6)*H$15)*$D$4,-3),"")</f>
        <v/>
      </c>
      <c r="I253" s="713" t="str">
        <f t="shared" si="372"/>
        <v/>
      </c>
      <c r="J253" s="713" t="str">
        <f t="shared" si="372"/>
        <v/>
      </c>
      <c r="K253" s="713" t="str">
        <f t="shared" ref="K253:L276" si="373">IF(K$26="013社宅及び寮建物",ROUND((K28+K28/(K$5-K$6)*K$6+K28/(K$5-K$6)*K$15)*$D$4,-3),"")</f>
        <v/>
      </c>
      <c r="L253" s="713" t="str">
        <f t="shared" si="373"/>
        <v/>
      </c>
      <c r="M253" s="713" t="str">
        <f t="shared" ref="M253:N253" si="374">IF(M$26="013社宅及び寮建物",ROUND((M28+M28/(M$5-M$6)*M$6+M28/(M$5-M$6)*M$15)*$D$4,-3),"")</f>
        <v/>
      </c>
      <c r="N253" s="713" t="str">
        <f t="shared" si="374"/>
        <v/>
      </c>
    </row>
    <row r="254" spans="1:14" ht="13.5" hidden="1" customHeight="1">
      <c r="A254" s="701"/>
      <c r="C254" s="703">
        <v>10501303</v>
      </c>
      <c r="D254" s="704" t="s">
        <v>668</v>
      </c>
      <c r="E254" s="705"/>
      <c r="F254" s="706"/>
      <c r="G254" s="615">
        <f t="shared" si="292"/>
        <v>0</v>
      </c>
      <c r="H254" s="713" t="str">
        <f t="shared" ref="H254:J254" si="375">IF(H$26="013社宅及び寮建物",ROUND((H29+H29/(H$5-H$6)*H$6+H29/(H$5-H$6)*H$15)*$D$4,-3),"")</f>
        <v/>
      </c>
      <c r="I254" s="713" t="str">
        <f t="shared" si="375"/>
        <v/>
      </c>
      <c r="J254" s="713" t="str">
        <f t="shared" si="375"/>
        <v/>
      </c>
      <c r="K254" s="713" t="str">
        <f t="shared" si="373"/>
        <v/>
      </c>
      <c r="L254" s="713" t="str">
        <f t="shared" si="373"/>
        <v/>
      </c>
      <c r="M254" s="713" t="str">
        <f t="shared" ref="M254:N254" si="376">IF(M$26="013社宅及び寮建物",ROUND((M29+M29/(M$5-M$6)*M$6+M29/(M$5-M$6)*M$15)*$D$4,-3),"")</f>
        <v/>
      </c>
      <c r="N254" s="713" t="str">
        <f t="shared" si="376"/>
        <v/>
      </c>
    </row>
    <row r="255" spans="1:14" ht="13.5" hidden="1" customHeight="1">
      <c r="A255" s="701"/>
      <c r="C255" s="703">
        <v>10501304</v>
      </c>
      <c r="D255" s="704" t="s">
        <v>669</v>
      </c>
      <c r="E255" s="705"/>
      <c r="F255" s="706"/>
      <c r="G255" s="615">
        <f t="shared" si="292"/>
        <v>0</v>
      </c>
      <c r="H255" s="713" t="str">
        <f t="shared" ref="H255:J255" si="377">IF(H$26="013社宅及び寮建物",ROUND((H30+H30/(H$5-H$6)*H$6+H30/(H$5-H$6)*H$15)*$D$4,-3),"")</f>
        <v/>
      </c>
      <c r="I255" s="713" t="str">
        <f t="shared" si="377"/>
        <v/>
      </c>
      <c r="J255" s="713" t="str">
        <f t="shared" si="377"/>
        <v/>
      </c>
      <c r="K255" s="713" t="str">
        <f t="shared" si="373"/>
        <v/>
      </c>
      <c r="L255" s="713" t="str">
        <f t="shared" si="373"/>
        <v/>
      </c>
      <c r="M255" s="713" t="str">
        <f t="shared" ref="M255:N255" si="378">IF(M$26="013社宅及び寮建物",ROUND((M30+M30/(M$5-M$6)*M$6+M30/(M$5-M$6)*M$15)*$D$4,-3),"")</f>
        <v/>
      </c>
      <c r="N255" s="713" t="str">
        <f t="shared" si="378"/>
        <v/>
      </c>
    </row>
    <row r="256" spans="1:14" ht="13.5" hidden="1" customHeight="1">
      <c r="A256" s="701"/>
      <c r="C256" s="703">
        <v>10501305</v>
      </c>
      <c r="D256" s="704" t="s">
        <v>670</v>
      </c>
      <c r="E256" s="705"/>
      <c r="F256" s="706"/>
      <c r="G256" s="615">
        <f t="shared" si="292"/>
        <v>0</v>
      </c>
      <c r="H256" s="713" t="str">
        <f t="shared" ref="H256:J256" si="379">IF(H$26="013社宅及び寮建物",ROUND((H31+H31/(H$5-H$6)*H$6+H31/(H$5-H$6)*H$15)*$D$4,-3),"")</f>
        <v/>
      </c>
      <c r="I256" s="713" t="str">
        <f t="shared" si="379"/>
        <v/>
      </c>
      <c r="J256" s="713" t="str">
        <f t="shared" si="379"/>
        <v/>
      </c>
      <c r="K256" s="713" t="str">
        <f t="shared" si="373"/>
        <v/>
      </c>
      <c r="L256" s="713" t="str">
        <f t="shared" si="373"/>
        <v/>
      </c>
      <c r="M256" s="713" t="str">
        <f t="shared" ref="M256:N256" si="380">IF(M$26="013社宅及び寮建物",ROUND((M31+M31/(M$5-M$6)*M$6+M31/(M$5-M$6)*M$15)*$D$4,-3),"")</f>
        <v/>
      </c>
      <c r="N256" s="713" t="str">
        <f t="shared" si="380"/>
        <v/>
      </c>
    </row>
    <row r="257" spans="1:14" ht="13.5" hidden="1" customHeight="1">
      <c r="A257" s="701"/>
      <c r="C257" s="703">
        <v>10501306</v>
      </c>
      <c r="D257" s="704" t="s">
        <v>671</v>
      </c>
      <c r="E257" s="705"/>
      <c r="F257" s="706"/>
      <c r="G257" s="615">
        <f t="shared" si="292"/>
        <v>0</v>
      </c>
      <c r="H257" s="713" t="str">
        <f t="shared" ref="H257:J257" si="381">IF(H$26="013社宅及び寮建物",ROUND((H32+H32/(H$5-H$6)*H$6+H32/(H$5-H$6)*H$15)*$D$4,-3),"")</f>
        <v/>
      </c>
      <c r="I257" s="713" t="str">
        <f t="shared" si="381"/>
        <v/>
      </c>
      <c r="J257" s="713" t="str">
        <f t="shared" si="381"/>
        <v/>
      </c>
      <c r="K257" s="713" t="str">
        <f t="shared" si="373"/>
        <v/>
      </c>
      <c r="L257" s="713" t="str">
        <f t="shared" si="373"/>
        <v/>
      </c>
      <c r="M257" s="713" t="str">
        <f t="shared" ref="M257:N257" si="382">IF(M$26="013社宅及び寮建物",ROUND((M32+M32/(M$5-M$6)*M$6+M32/(M$5-M$6)*M$15)*$D$4,-3),"")</f>
        <v/>
      </c>
      <c r="N257" s="713" t="str">
        <f t="shared" si="382"/>
        <v/>
      </c>
    </row>
    <row r="258" spans="1:14" ht="13.5" hidden="1" customHeight="1">
      <c r="A258" s="701"/>
      <c r="C258" s="703">
        <v>10501307</v>
      </c>
      <c r="D258" s="704" t="s">
        <v>672</v>
      </c>
      <c r="E258" s="705"/>
      <c r="F258" s="706"/>
      <c r="G258" s="615">
        <f t="shared" si="292"/>
        <v>0</v>
      </c>
      <c r="H258" s="713" t="str">
        <f t="shared" ref="H258:J258" si="383">IF(H$26="013社宅及び寮建物",ROUND((H33+H33/(H$5-H$6)*H$6+H33/(H$5-H$6)*H$15)*$D$4,-3),"")</f>
        <v/>
      </c>
      <c r="I258" s="713" t="str">
        <f t="shared" si="383"/>
        <v/>
      </c>
      <c r="J258" s="713" t="str">
        <f t="shared" si="383"/>
        <v/>
      </c>
      <c r="K258" s="713" t="str">
        <f t="shared" si="373"/>
        <v/>
      </c>
      <c r="L258" s="713" t="str">
        <f t="shared" si="373"/>
        <v/>
      </c>
      <c r="M258" s="713" t="str">
        <f t="shared" ref="M258:N258" si="384">IF(M$26="013社宅及び寮建物",ROUND((M33+M33/(M$5-M$6)*M$6+M33/(M$5-M$6)*M$15)*$D$4,-3),"")</f>
        <v/>
      </c>
      <c r="N258" s="713" t="str">
        <f t="shared" si="384"/>
        <v/>
      </c>
    </row>
    <row r="259" spans="1:14" ht="13.5" hidden="1" customHeight="1">
      <c r="A259" s="701"/>
      <c r="C259" s="703">
        <v>10501308</v>
      </c>
      <c r="D259" s="704" t="s">
        <v>673</v>
      </c>
      <c r="E259" s="705"/>
      <c r="F259" s="706"/>
      <c r="G259" s="615">
        <f t="shared" si="292"/>
        <v>0</v>
      </c>
      <c r="H259" s="713" t="str">
        <f t="shared" ref="H259:J259" si="385">IF(H$26="013社宅及び寮建物",ROUND((H34+H34/(H$5-H$6)*H$6+H34/(H$5-H$6)*H$15)*$D$4,-3),"")</f>
        <v/>
      </c>
      <c r="I259" s="713" t="str">
        <f t="shared" si="385"/>
        <v/>
      </c>
      <c r="J259" s="713" t="str">
        <f t="shared" si="385"/>
        <v/>
      </c>
      <c r="K259" s="713" t="str">
        <f t="shared" si="373"/>
        <v/>
      </c>
      <c r="L259" s="713" t="str">
        <f t="shared" si="373"/>
        <v/>
      </c>
      <c r="M259" s="713" t="str">
        <f t="shared" ref="M259:N259" si="386">IF(M$26="013社宅及び寮建物",ROUND((M34+M34/(M$5-M$6)*M$6+M34/(M$5-M$6)*M$15)*$D$4,-3),"")</f>
        <v/>
      </c>
      <c r="N259" s="713" t="str">
        <f t="shared" si="386"/>
        <v/>
      </c>
    </row>
    <row r="260" spans="1:14" ht="13.5" hidden="1" customHeight="1">
      <c r="A260" s="701"/>
      <c r="C260" s="703">
        <v>10501309</v>
      </c>
      <c r="D260" s="704" t="s">
        <v>674</v>
      </c>
      <c r="E260" s="705"/>
      <c r="F260" s="706"/>
      <c r="G260" s="615">
        <f t="shared" si="292"/>
        <v>0</v>
      </c>
      <c r="H260" s="713" t="str">
        <f t="shared" ref="H260:J260" si="387">IF(H$26="013社宅及び寮建物",ROUND((H35+H35/(H$5-H$6)*H$6+H35/(H$5-H$6)*H$15)*$D$4,-3),"")</f>
        <v/>
      </c>
      <c r="I260" s="713" t="str">
        <f t="shared" si="387"/>
        <v/>
      </c>
      <c r="J260" s="713" t="str">
        <f t="shared" si="387"/>
        <v/>
      </c>
      <c r="K260" s="713" t="str">
        <f t="shared" si="373"/>
        <v/>
      </c>
      <c r="L260" s="713" t="str">
        <f t="shared" si="373"/>
        <v/>
      </c>
      <c r="M260" s="713" t="str">
        <f t="shared" ref="M260:N260" si="388">IF(M$26="013社宅及び寮建物",ROUND((M35+M35/(M$5-M$6)*M$6+M35/(M$5-M$6)*M$15)*$D$4,-3),"")</f>
        <v/>
      </c>
      <c r="N260" s="713" t="str">
        <f t="shared" si="388"/>
        <v/>
      </c>
    </row>
    <row r="261" spans="1:14" ht="13.5" hidden="1" customHeight="1">
      <c r="A261" s="701"/>
      <c r="C261" s="703">
        <v>10501310</v>
      </c>
      <c r="D261" s="704" t="s">
        <v>675</v>
      </c>
      <c r="E261" s="705"/>
      <c r="F261" s="706"/>
      <c r="G261" s="615">
        <f t="shared" si="292"/>
        <v>0</v>
      </c>
      <c r="H261" s="713" t="str">
        <f t="shared" ref="H261:J261" si="389">IF(H$26="013社宅及び寮建物",ROUND((H36+H36/(H$5-H$6)*H$6+H36/(H$5-H$6)*H$15)*$D$4,-3),"")</f>
        <v/>
      </c>
      <c r="I261" s="713" t="str">
        <f t="shared" si="389"/>
        <v/>
      </c>
      <c r="J261" s="713" t="str">
        <f t="shared" si="389"/>
        <v/>
      </c>
      <c r="K261" s="713" t="str">
        <f t="shared" si="373"/>
        <v/>
      </c>
      <c r="L261" s="713" t="str">
        <f t="shared" si="373"/>
        <v/>
      </c>
      <c r="M261" s="713" t="str">
        <f t="shared" ref="M261:N261" si="390">IF(M$26="013社宅及び寮建物",ROUND((M36+M36/(M$5-M$6)*M$6+M36/(M$5-M$6)*M$15)*$D$4,-3),"")</f>
        <v/>
      </c>
      <c r="N261" s="713" t="str">
        <f t="shared" si="390"/>
        <v/>
      </c>
    </row>
    <row r="262" spans="1:14" ht="13.5" hidden="1" customHeight="1">
      <c r="A262" s="701"/>
      <c r="C262" s="703">
        <v>10501311</v>
      </c>
      <c r="D262" s="704" t="s">
        <v>676</v>
      </c>
      <c r="E262" s="705"/>
      <c r="F262" s="706"/>
      <c r="G262" s="615">
        <f t="shared" si="292"/>
        <v>0</v>
      </c>
      <c r="H262" s="713" t="str">
        <f t="shared" ref="H262:J262" si="391">IF(H$26="013社宅及び寮建物",ROUND((H37+H37/(H$5-H$6)*H$6+H37/(H$5-H$6)*H$15)*$D$4,-3),"")</f>
        <v/>
      </c>
      <c r="I262" s="713" t="str">
        <f t="shared" si="391"/>
        <v/>
      </c>
      <c r="J262" s="713" t="str">
        <f t="shared" si="391"/>
        <v/>
      </c>
      <c r="K262" s="713" t="str">
        <f t="shared" si="373"/>
        <v/>
      </c>
      <c r="L262" s="713" t="str">
        <f t="shared" si="373"/>
        <v/>
      </c>
      <c r="M262" s="713" t="str">
        <f t="shared" ref="M262:N262" si="392">IF(M$26="013社宅及び寮建物",ROUND((M37+M37/(M$5-M$6)*M$6+M37/(M$5-M$6)*M$15)*$D$4,-3),"")</f>
        <v/>
      </c>
      <c r="N262" s="713" t="str">
        <f t="shared" si="392"/>
        <v/>
      </c>
    </row>
    <row r="263" spans="1:14" ht="13.5" hidden="1" customHeight="1">
      <c r="A263" s="701"/>
      <c r="C263" s="703">
        <v>10501312</v>
      </c>
      <c r="D263" s="704" t="s">
        <v>677</v>
      </c>
      <c r="E263" s="705"/>
      <c r="F263" s="706"/>
      <c r="G263" s="615">
        <f t="shared" si="292"/>
        <v>0</v>
      </c>
      <c r="H263" s="713" t="str">
        <f t="shared" ref="H263:J263" si="393">IF(H$26="013社宅及び寮建物",ROUND((H38+H38/(H$5-H$6)*H$6+H38/(H$5-H$6)*H$15)*$D$4,-3),"")</f>
        <v/>
      </c>
      <c r="I263" s="713" t="str">
        <f t="shared" si="393"/>
        <v/>
      </c>
      <c r="J263" s="713" t="str">
        <f t="shared" si="393"/>
        <v/>
      </c>
      <c r="K263" s="713" t="str">
        <f t="shared" si="373"/>
        <v/>
      </c>
      <c r="L263" s="713" t="str">
        <f t="shared" si="373"/>
        <v/>
      </c>
      <c r="M263" s="713" t="str">
        <f t="shared" ref="M263:N263" si="394">IF(M$26="013社宅及び寮建物",ROUND((M38+M38/(M$5-M$6)*M$6+M38/(M$5-M$6)*M$15)*$D$4,-3),"")</f>
        <v/>
      </c>
      <c r="N263" s="713" t="str">
        <f t="shared" si="394"/>
        <v/>
      </c>
    </row>
    <row r="264" spans="1:14" ht="13.5" hidden="1" customHeight="1">
      <c r="A264" s="701"/>
      <c r="C264" s="703">
        <v>10501313</v>
      </c>
      <c r="D264" s="704" t="s">
        <v>678</v>
      </c>
      <c r="E264" s="705"/>
      <c r="F264" s="706"/>
      <c r="G264" s="615">
        <f t="shared" si="292"/>
        <v>0</v>
      </c>
      <c r="H264" s="713" t="str">
        <f t="shared" ref="H264:J264" si="395">IF(H$26="013社宅及び寮建物",ROUND((H39+H39/(H$5-H$6)*H$6+H39/(H$5-H$6)*H$15)*$D$4,-3),"")</f>
        <v/>
      </c>
      <c r="I264" s="713" t="str">
        <f t="shared" si="395"/>
        <v/>
      </c>
      <c r="J264" s="713" t="str">
        <f t="shared" si="395"/>
        <v/>
      </c>
      <c r="K264" s="713" t="str">
        <f t="shared" si="373"/>
        <v/>
      </c>
      <c r="L264" s="713" t="str">
        <f t="shared" si="373"/>
        <v/>
      </c>
      <c r="M264" s="713" t="str">
        <f t="shared" ref="M264:N264" si="396">IF(M$26="013社宅及び寮建物",ROUND((M39+M39/(M$5-M$6)*M$6+M39/(M$5-M$6)*M$15)*$D$4,-3),"")</f>
        <v/>
      </c>
      <c r="N264" s="713" t="str">
        <f t="shared" si="396"/>
        <v/>
      </c>
    </row>
    <row r="265" spans="1:14" ht="13.5" hidden="1" customHeight="1">
      <c r="A265" s="701"/>
      <c r="C265" s="703">
        <v>10501314</v>
      </c>
      <c r="D265" s="704" t="s">
        <v>679</v>
      </c>
      <c r="E265" s="705"/>
      <c r="F265" s="706"/>
      <c r="G265" s="615">
        <f t="shared" si="292"/>
        <v>0</v>
      </c>
      <c r="H265" s="713" t="str">
        <f t="shared" ref="H265:J265" si="397">IF(H$26="013社宅及び寮建物",ROUND((H40+H40/(H$5-H$6)*H$6+H40/(H$5-H$6)*H$15)*$D$4,-3),"")</f>
        <v/>
      </c>
      <c r="I265" s="713" t="str">
        <f t="shared" si="397"/>
        <v/>
      </c>
      <c r="J265" s="713" t="str">
        <f t="shared" si="397"/>
        <v/>
      </c>
      <c r="K265" s="713" t="str">
        <f t="shared" si="373"/>
        <v/>
      </c>
      <c r="L265" s="713" t="str">
        <f t="shared" si="373"/>
        <v/>
      </c>
      <c r="M265" s="713" t="str">
        <f t="shared" ref="M265:N265" si="398">IF(M$26="013社宅及び寮建物",ROUND((M40+M40/(M$5-M$6)*M$6+M40/(M$5-M$6)*M$15)*$D$4,-3),"")</f>
        <v/>
      </c>
      <c r="N265" s="713" t="str">
        <f t="shared" si="398"/>
        <v/>
      </c>
    </row>
    <row r="266" spans="1:14" ht="13.5" hidden="1" customHeight="1">
      <c r="A266" s="701"/>
      <c r="C266" s="703">
        <v>10501315</v>
      </c>
      <c r="D266" s="704" t="s">
        <v>680</v>
      </c>
      <c r="E266" s="705"/>
      <c r="F266" s="706"/>
      <c r="G266" s="615">
        <f t="shared" si="292"/>
        <v>0</v>
      </c>
      <c r="H266" s="713" t="str">
        <f t="shared" ref="H266:J266" si="399">IF(H$26="013社宅及び寮建物",ROUND((H41+H41/(H$5-H$6)*H$6+H41/(H$5-H$6)*H$15)*$D$4,-3),"")</f>
        <v/>
      </c>
      <c r="I266" s="713" t="str">
        <f t="shared" si="399"/>
        <v/>
      </c>
      <c r="J266" s="713" t="str">
        <f t="shared" si="399"/>
        <v/>
      </c>
      <c r="K266" s="713" t="str">
        <f t="shared" si="373"/>
        <v/>
      </c>
      <c r="L266" s="713" t="str">
        <f t="shared" si="373"/>
        <v/>
      </c>
      <c r="M266" s="713" t="str">
        <f t="shared" ref="M266:N266" si="400">IF(M$26="013社宅及び寮建物",ROUND((M41+M41/(M$5-M$6)*M$6+M41/(M$5-M$6)*M$15)*$D$4,-3),"")</f>
        <v/>
      </c>
      <c r="N266" s="713" t="str">
        <f t="shared" si="400"/>
        <v/>
      </c>
    </row>
    <row r="267" spans="1:14" ht="13.5" hidden="1" customHeight="1">
      <c r="A267" s="701"/>
      <c r="C267" s="703">
        <v>10501316</v>
      </c>
      <c r="D267" s="704" t="s">
        <v>681</v>
      </c>
      <c r="E267" s="705"/>
      <c r="F267" s="706"/>
      <c r="G267" s="615">
        <f t="shared" si="292"/>
        <v>0</v>
      </c>
      <c r="H267" s="713" t="str">
        <f t="shared" ref="H267:J267" si="401">IF(H$26="013社宅及び寮建物",ROUND((H42+H42/(H$5-H$6)*H$6+H42/(H$5-H$6)*H$15)*$D$4,-3),"")</f>
        <v/>
      </c>
      <c r="I267" s="713" t="str">
        <f t="shared" si="401"/>
        <v/>
      </c>
      <c r="J267" s="713" t="str">
        <f t="shared" si="401"/>
        <v/>
      </c>
      <c r="K267" s="713" t="str">
        <f t="shared" si="373"/>
        <v/>
      </c>
      <c r="L267" s="713" t="str">
        <f t="shared" si="373"/>
        <v/>
      </c>
      <c r="M267" s="713" t="str">
        <f t="shared" ref="M267:N267" si="402">IF(M$26="013社宅及び寮建物",ROUND((M42+M42/(M$5-M$6)*M$6+M42/(M$5-M$6)*M$15)*$D$4,-3),"")</f>
        <v/>
      </c>
      <c r="N267" s="713" t="str">
        <f t="shared" si="402"/>
        <v/>
      </c>
    </row>
    <row r="268" spans="1:14" ht="13.5" hidden="1" customHeight="1">
      <c r="A268" s="701"/>
      <c r="C268" s="703">
        <v>10501317</v>
      </c>
      <c r="D268" s="704" t="s">
        <v>682</v>
      </c>
      <c r="E268" s="705"/>
      <c r="F268" s="706"/>
      <c r="G268" s="615">
        <f t="shared" si="292"/>
        <v>0</v>
      </c>
      <c r="H268" s="713" t="str">
        <f t="shared" ref="H268:J268" si="403">IF(H$26="013社宅及び寮建物",ROUND((H43+H43/(H$5-H$6)*H$6+H43/(H$5-H$6)*H$15)*$D$4,-3),"")</f>
        <v/>
      </c>
      <c r="I268" s="713" t="str">
        <f t="shared" si="403"/>
        <v/>
      </c>
      <c r="J268" s="713" t="str">
        <f t="shared" si="403"/>
        <v/>
      </c>
      <c r="K268" s="713" t="str">
        <f t="shared" si="373"/>
        <v/>
      </c>
      <c r="L268" s="713" t="str">
        <f t="shared" si="373"/>
        <v/>
      </c>
      <c r="M268" s="713" t="str">
        <f t="shared" ref="M268:N268" si="404">IF(M$26="013社宅及び寮建物",ROUND((M43+M43/(M$5-M$6)*M$6+M43/(M$5-M$6)*M$15)*$D$4,-3),"")</f>
        <v/>
      </c>
      <c r="N268" s="713" t="str">
        <f t="shared" si="404"/>
        <v/>
      </c>
    </row>
    <row r="269" spans="1:14" ht="13.5" hidden="1" customHeight="1">
      <c r="A269" s="701"/>
      <c r="C269" s="703">
        <v>10501318</v>
      </c>
      <c r="D269" s="704" t="s">
        <v>683</v>
      </c>
      <c r="E269" s="705"/>
      <c r="F269" s="706"/>
      <c r="G269" s="615">
        <f t="shared" si="292"/>
        <v>0</v>
      </c>
      <c r="H269" s="713" t="str">
        <f t="shared" ref="H269:J269" si="405">IF(H$26="013社宅及び寮建物",ROUND((H44+H44/(H$5-H$6)*H$6+H44/(H$5-H$6)*H$15)*$D$4,-3),"")</f>
        <v/>
      </c>
      <c r="I269" s="713" t="str">
        <f t="shared" si="405"/>
        <v/>
      </c>
      <c r="J269" s="713" t="str">
        <f t="shared" si="405"/>
        <v/>
      </c>
      <c r="K269" s="713" t="str">
        <f t="shared" si="373"/>
        <v/>
      </c>
      <c r="L269" s="713" t="str">
        <f t="shared" si="373"/>
        <v/>
      </c>
      <c r="M269" s="713" t="str">
        <f t="shared" ref="M269:N269" si="406">IF(M$26="013社宅及び寮建物",ROUND((M44+M44/(M$5-M$6)*M$6+M44/(M$5-M$6)*M$15)*$D$4,-3),"")</f>
        <v/>
      </c>
      <c r="N269" s="713" t="str">
        <f t="shared" si="406"/>
        <v/>
      </c>
    </row>
    <row r="270" spans="1:14" ht="13.5" hidden="1" customHeight="1">
      <c r="A270" s="701"/>
      <c r="C270" s="703">
        <v>10501319</v>
      </c>
      <c r="D270" s="704" t="s">
        <v>684</v>
      </c>
      <c r="E270" s="705"/>
      <c r="F270" s="706"/>
      <c r="G270" s="615">
        <f t="shared" si="292"/>
        <v>0</v>
      </c>
      <c r="H270" s="713" t="str">
        <f t="shared" ref="H270:J270" si="407">IF(H$26="013社宅及び寮建物",ROUND((H45+H45/(H$5-H$6)*H$6+H45/(H$5-H$6)*H$15)*$D$4,-3),"")</f>
        <v/>
      </c>
      <c r="I270" s="713" t="str">
        <f t="shared" si="407"/>
        <v/>
      </c>
      <c r="J270" s="713" t="str">
        <f t="shared" si="407"/>
        <v/>
      </c>
      <c r="K270" s="713" t="str">
        <f t="shared" si="373"/>
        <v/>
      </c>
      <c r="L270" s="713" t="str">
        <f t="shared" si="373"/>
        <v/>
      </c>
      <c r="M270" s="713" t="str">
        <f t="shared" ref="M270:N270" si="408">IF(M$26="013社宅及び寮建物",ROUND((M45+M45/(M$5-M$6)*M$6+M45/(M$5-M$6)*M$15)*$D$4,-3),"")</f>
        <v/>
      </c>
      <c r="N270" s="713" t="str">
        <f t="shared" si="408"/>
        <v/>
      </c>
    </row>
    <row r="271" spans="1:14" ht="13.5" hidden="1" customHeight="1">
      <c r="A271" s="701"/>
      <c r="C271" s="703">
        <v>10501320</v>
      </c>
      <c r="D271" s="704" t="s">
        <v>685</v>
      </c>
      <c r="E271" s="705"/>
      <c r="F271" s="706"/>
      <c r="G271" s="615">
        <f t="shared" si="292"/>
        <v>0</v>
      </c>
      <c r="H271" s="713" t="str">
        <f t="shared" ref="H271:J271" si="409">IF(H$26="013社宅及び寮建物",ROUND((H46+H46/(H$5-H$6)*H$6+H46/(H$5-H$6)*H$15)*$D$4,-3),"")</f>
        <v/>
      </c>
      <c r="I271" s="713" t="str">
        <f t="shared" si="409"/>
        <v/>
      </c>
      <c r="J271" s="713" t="str">
        <f t="shared" si="409"/>
        <v/>
      </c>
      <c r="K271" s="713" t="str">
        <f t="shared" si="373"/>
        <v/>
      </c>
      <c r="L271" s="713" t="str">
        <f t="shared" si="373"/>
        <v/>
      </c>
      <c r="M271" s="713" t="str">
        <f t="shared" ref="M271:N271" si="410">IF(M$26="013社宅及び寮建物",ROUND((M46+M46/(M$5-M$6)*M$6+M46/(M$5-M$6)*M$15)*$D$4,-3),"")</f>
        <v/>
      </c>
      <c r="N271" s="713" t="str">
        <f t="shared" si="410"/>
        <v/>
      </c>
    </row>
    <row r="272" spans="1:14" ht="13.5" hidden="1" customHeight="1">
      <c r="A272" s="701"/>
      <c r="C272" s="703">
        <v>10501321</v>
      </c>
      <c r="D272" s="704" t="s">
        <v>686</v>
      </c>
      <c r="E272" s="705"/>
      <c r="F272" s="706"/>
      <c r="G272" s="615">
        <f t="shared" si="292"/>
        <v>0</v>
      </c>
      <c r="H272" s="713" t="str">
        <f t="shared" ref="H272:J272" si="411">IF(H$26="013社宅及び寮建物",ROUND((H47+H47/(H$5-H$6)*H$6+H47/(H$5-H$6)*H$15)*$D$4,-3),"")</f>
        <v/>
      </c>
      <c r="I272" s="713" t="str">
        <f t="shared" si="411"/>
        <v/>
      </c>
      <c r="J272" s="713" t="str">
        <f t="shared" si="411"/>
        <v/>
      </c>
      <c r="K272" s="713" t="str">
        <f t="shared" si="373"/>
        <v/>
      </c>
      <c r="L272" s="713" t="str">
        <f t="shared" si="373"/>
        <v/>
      </c>
      <c r="M272" s="713" t="str">
        <f t="shared" ref="M272:N272" si="412">IF(M$26="013社宅及び寮建物",ROUND((M47+M47/(M$5-M$6)*M$6+M47/(M$5-M$6)*M$15)*$D$4,-3),"")</f>
        <v/>
      </c>
      <c r="N272" s="713" t="str">
        <f t="shared" si="412"/>
        <v/>
      </c>
    </row>
    <row r="273" spans="1:14" ht="13.5" hidden="1" customHeight="1">
      <c r="A273" s="701"/>
      <c r="C273" s="703">
        <v>10501322</v>
      </c>
      <c r="D273" s="704" t="s">
        <v>687</v>
      </c>
      <c r="E273" s="705"/>
      <c r="F273" s="706"/>
      <c r="G273" s="615">
        <f t="shared" si="292"/>
        <v>0</v>
      </c>
      <c r="H273" s="713" t="str">
        <f t="shared" ref="H273:J273" si="413">IF(H$26="013社宅及び寮建物",ROUND((H48+H48/(H$5-H$6)*H$6+H48/(H$5-H$6)*H$15)*$D$4,-3),"")</f>
        <v/>
      </c>
      <c r="I273" s="713" t="str">
        <f t="shared" si="413"/>
        <v/>
      </c>
      <c r="J273" s="713" t="str">
        <f t="shared" si="413"/>
        <v/>
      </c>
      <c r="K273" s="713" t="str">
        <f t="shared" si="373"/>
        <v/>
      </c>
      <c r="L273" s="713" t="str">
        <f t="shared" si="373"/>
        <v/>
      </c>
      <c r="M273" s="713" t="str">
        <f t="shared" ref="M273:N273" si="414">IF(M$26="013社宅及び寮建物",ROUND((M48+M48/(M$5-M$6)*M$6+M48/(M$5-M$6)*M$15)*$D$4,-3),"")</f>
        <v/>
      </c>
      <c r="N273" s="713" t="str">
        <f t="shared" si="414"/>
        <v/>
      </c>
    </row>
    <row r="274" spans="1:14" ht="13.5" hidden="1" customHeight="1">
      <c r="A274" s="701"/>
      <c r="C274" s="703">
        <v>10501323</v>
      </c>
      <c r="D274" s="704" t="s">
        <v>688</v>
      </c>
      <c r="E274" s="705"/>
      <c r="F274" s="706"/>
      <c r="G274" s="615">
        <f t="shared" si="292"/>
        <v>0</v>
      </c>
      <c r="H274" s="713" t="str">
        <f t="shared" ref="H274:J274" si="415">IF(H$26="013社宅及び寮建物",ROUND((H49+H49/(H$5-H$6)*H$6+H49/(H$5-H$6)*H$15)*$D$4,-3),"")</f>
        <v/>
      </c>
      <c r="I274" s="713" t="str">
        <f t="shared" si="415"/>
        <v/>
      </c>
      <c r="J274" s="713" t="str">
        <f t="shared" si="415"/>
        <v/>
      </c>
      <c r="K274" s="713" t="str">
        <f t="shared" si="373"/>
        <v/>
      </c>
      <c r="L274" s="713" t="str">
        <f t="shared" si="373"/>
        <v/>
      </c>
      <c r="M274" s="713" t="str">
        <f t="shared" ref="M274:N274" si="416">IF(M$26="013社宅及び寮建物",ROUND((M49+M49/(M$5-M$6)*M$6+M49/(M$5-M$6)*M$15)*$D$4,-3),"")</f>
        <v/>
      </c>
      <c r="N274" s="713" t="str">
        <f t="shared" si="416"/>
        <v/>
      </c>
    </row>
    <row r="275" spans="1:14" ht="13.5" hidden="1" customHeight="1">
      <c r="A275" s="701"/>
      <c r="C275" s="703">
        <v>10501324</v>
      </c>
      <c r="D275" s="704" t="s">
        <v>689</v>
      </c>
      <c r="E275" s="705"/>
      <c r="F275" s="706"/>
      <c r="G275" s="615">
        <f t="shared" si="292"/>
        <v>0</v>
      </c>
      <c r="H275" s="713" t="str">
        <f t="shared" ref="H275:J275" si="417">IF(H$26="013社宅及び寮建物",ROUND((H50+H50/(H$5-H$6)*H$6+H50/(H$5-H$6)*H$15)*$D$4,-3),"")</f>
        <v/>
      </c>
      <c r="I275" s="713" t="str">
        <f t="shared" si="417"/>
        <v/>
      </c>
      <c r="J275" s="713" t="str">
        <f t="shared" si="417"/>
        <v/>
      </c>
      <c r="K275" s="713" t="str">
        <f t="shared" si="373"/>
        <v/>
      </c>
      <c r="L275" s="713" t="str">
        <f t="shared" si="373"/>
        <v/>
      </c>
      <c r="M275" s="713" t="str">
        <f t="shared" ref="M275:N275" si="418">IF(M$26="013社宅及び寮建物",ROUND((M50+M50/(M$5-M$6)*M$6+M50/(M$5-M$6)*M$15)*$D$4,-3),"")</f>
        <v/>
      </c>
      <c r="N275" s="713" t="str">
        <f t="shared" si="418"/>
        <v/>
      </c>
    </row>
    <row r="276" spans="1:14" ht="13.5" hidden="1" customHeight="1">
      <c r="A276" s="701"/>
      <c r="C276" s="703">
        <v>10501325</v>
      </c>
      <c r="D276" s="704" t="s">
        <v>690</v>
      </c>
      <c r="E276" s="705"/>
      <c r="F276" s="706"/>
      <c r="G276" s="615">
        <f t="shared" si="292"/>
        <v>0</v>
      </c>
      <c r="H276" s="713" t="str">
        <f t="shared" ref="H276:J276" si="419">IF(H$26="013社宅及び寮建物",ROUND((H51+H51/(H$5-H$6)*H$6+H51/(H$5-H$6)*H$15)*$D$4,-3),"")</f>
        <v/>
      </c>
      <c r="I276" s="713" t="str">
        <f t="shared" si="419"/>
        <v/>
      </c>
      <c r="J276" s="713" t="str">
        <f t="shared" si="419"/>
        <v/>
      </c>
      <c r="K276" s="713" t="str">
        <f t="shared" si="373"/>
        <v/>
      </c>
      <c r="L276" s="713" t="str">
        <f t="shared" si="373"/>
        <v/>
      </c>
      <c r="M276" s="713" t="str">
        <f t="shared" ref="M276:N276" si="420">IF(M$26="013社宅及び寮建物",ROUND((M51+M51/(M$5-M$6)*M$6+M51/(M$5-M$6)*M$15)*$D$4,-3),"")</f>
        <v/>
      </c>
      <c r="N276" s="713" t="str">
        <f t="shared" si="420"/>
        <v/>
      </c>
    </row>
    <row r="277" spans="1:14" ht="13.5" hidden="1" customHeight="1">
      <c r="A277" s="701"/>
      <c r="B277" s="702"/>
      <c r="C277" s="708"/>
      <c r="D277" s="709"/>
      <c r="E277" s="710"/>
      <c r="F277" s="623"/>
      <c r="G277" s="615">
        <f t="shared" ref="G277" si="421">SUM(H277:M277)</f>
        <v>0</v>
      </c>
      <c r="H277" s="714" t="str">
        <f t="shared" ref="H277:M277" si="422">IF(H$26="013社宅及び寮建物",ROUND(H52+H52/(H$5-H$6)*H$6+H52/(H$5-H$6)*H$15,-3),"")</f>
        <v/>
      </c>
      <c r="I277" s="714" t="str">
        <f t="shared" si="422"/>
        <v/>
      </c>
      <c r="J277" s="714" t="str">
        <f t="shared" si="422"/>
        <v/>
      </c>
      <c r="K277" s="714" t="str">
        <f t="shared" si="422"/>
        <v/>
      </c>
      <c r="L277" s="714" t="str">
        <f t="shared" si="422"/>
        <v/>
      </c>
      <c r="M277" s="714" t="str">
        <f t="shared" si="422"/>
        <v/>
      </c>
      <c r="N277" s="714" t="str">
        <f t="shared" ref="N277" si="423">IF(N$26="013社宅及び寮建物",ROUND(N52+N52/(N$5-N$6)*N$6+N52/(N$5-N$6)*N$15,-3),"")</f>
        <v/>
      </c>
    </row>
    <row r="278" spans="1:14" s="720" customFormat="1" ht="13.5" customHeight="1">
      <c r="A278" s="715"/>
      <c r="B278" s="716"/>
      <c r="C278" s="716"/>
      <c r="D278" s="716"/>
      <c r="E278" s="716"/>
      <c r="F278" s="717" t="s">
        <v>2484</v>
      </c>
      <c r="G278" s="718">
        <f ca="1">SUM(H278:N278)</f>
        <v>16366000</v>
      </c>
      <c r="H278" s="719">
        <f t="shared" ref="H278:M278" ca="1" si="424">IF(H4="費用",0,SUM(H96:H277))</f>
        <v>-61000</v>
      </c>
      <c r="I278" s="719">
        <f t="shared" si="424"/>
        <v>6035000</v>
      </c>
      <c r="J278" s="719">
        <f t="shared" ca="1" si="424"/>
        <v>63000</v>
      </c>
      <c r="K278" s="719">
        <f t="shared" ca="1" si="424"/>
        <v>930000</v>
      </c>
      <c r="L278" s="719">
        <f t="shared" ca="1" si="424"/>
        <v>6486000</v>
      </c>
      <c r="M278" s="719">
        <f t="shared" ca="1" si="424"/>
        <v>1432000</v>
      </c>
      <c r="N278" s="719">
        <f t="shared" ref="N278" ca="1" si="425">IF(N4="費用",0,SUM(N96:N277))</f>
        <v>1481000</v>
      </c>
    </row>
    <row r="279" spans="1:14" s="532" customFormat="1" ht="13.5" hidden="1" customHeight="1">
      <c r="A279" s="701"/>
      <c r="B279" s="533"/>
      <c r="C279" s="697">
        <v>11002401</v>
      </c>
      <c r="D279" s="704" t="s">
        <v>691</v>
      </c>
      <c r="E279" s="705"/>
      <c r="F279" s="706"/>
      <c r="G279" s="619">
        <f>SUM(H279:M279)</f>
        <v>0</v>
      </c>
      <c r="H279" s="620" t="str">
        <f t="shared" ref="H279:M280" si="426">IF(H57="","",ROUND((H57+H57/(H$5-H$6)*H$6+H57/(H$5-H$6)*H$15)*$D$4,-3))</f>
        <v/>
      </c>
      <c r="I279" s="620" t="str">
        <f t="shared" si="426"/>
        <v/>
      </c>
      <c r="J279" s="620" t="str">
        <f t="shared" si="426"/>
        <v/>
      </c>
      <c r="K279" s="620" t="str">
        <f t="shared" si="426"/>
        <v/>
      </c>
      <c r="L279" s="620" t="str">
        <f t="shared" si="426"/>
        <v/>
      </c>
      <c r="M279" s="620" t="str">
        <f t="shared" si="426"/>
        <v/>
      </c>
      <c r="N279" s="620" t="str">
        <f t="shared" ref="N279" si="427">IF(N57="","",ROUND((N57+N57/(N$5-N$6)*N$6+N57/(N$5-N$6)*N$15)*$D$4,-3))</f>
        <v/>
      </c>
    </row>
    <row r="280" spans="1:14" s="532" customFormat="1" ht="13.5" hidden="1" customHeight="1">
      <c r="A280" s="701"/>
      <c r="B280" s="533"/>
      <c r="C280" s="697">
        <v>11002402</v>
      </c>
      <c r="D280" s="704" t="s">
        <v>692</v>
      </c>
      <c r="E280" s="705"/>
      <c r="F280" s="706"/>
      <c r="G280" s="619">
        <f>SUM(H280:M280)</f>
        <v>0</v>
      </c>
      <c r="H280" s="771" t="str">
        <f t="shared" si="426"/>
        <v/>
      </c>
      <c r="I280" s="771" t="str">
        <f t="shared" si="426"/>
        <v/>
      </c>
      <c r="J280" s="771" t="str">
        <f t="shared" si="426"/>
        <v/>
      </c>
      <c r="K280" s="771" t="str">
        <f t="shared" si="426"/>
        <v/>
      </c>
      <c r="L280" s="771" t="str">
        <f t="shared" si="426"/>
        <v/>
      </c>
      <c r="M280" s="771" t="str">
        <f t="shared" si="426"/>
        <v/>
      </c>
      <c r="N280" s="771" t="str">
        <f t="shared" ref="N280" si="428">IF(N58="","",ROUND((N58+N58/(N$5-N$6)*N$6+N58/(N$5-N$6)*N$15)*$D$4,-3))</f>
        <v/>
      </c>
    </row>
    <row r="281" spans="1:14" s="532" customFormat="1" ht="13.5" hidden="1" customHeight="1">
      <c r="A281" s="701"/>
      <c r="B281" s="721"/>
      <c r="C281" s="703">
        <v>11004901</v>
      </c>
      <c r="D281" s="704" t="s">
        <v>693</v>
      </c>
      <c r="E281" s="705"/>
      <c r="F281" s="706"/>
      <c r="G281" s="615">
        <f>SUM(H281:M281)</f>
        <v>0</v>
      </c>
      <c r="H281" s="713" t="str">
        <f t="shared" ref="H281:M281" si="429">IF(H62="","",ROUND((H62+H62/(H$5-H$6)*H$6+H62/(H$5-H$6)*H$15)*$D$4,-3))</f>
        <v/>
      </c>
      <c r="I281" s="713" t="str">
        <f t="shared" si="429"/>
        <v/>
      </c>
      <c r="J281" s="713" t="str">
        <f t="shared" si="429"/>
        <v/>
      </c>
      <c r="K281" s="713" t="str">
        <f t="shared" si="429"/>
        <v/>
      </c>
      <c r="L281" s="713" t="str">
        <f t="shared" si="429"/>
        <v/>
      </c>
      <c r="M281" s="713" t="str">
        <f t="shared" si="429"/>
        <v/>
      </c>
      <c r="N281" s="713" t="str">
        <f t="shared" ref="N281" si="430">IF(N62="","",ROUND((N62+N62/(N$5-N$6)*N$6+N62/(N$5-N$6)*N$15)*$D$4,-3))</f>
        <v/>
      </c>
    </row>
    <row r="282" spans="1:14" s="532" customFormat="1" ht="13.5" hidden="1" customHeight="1">
      <c r="A282" s="701"/>
      <c r="B282" s="721"/>
      <c r="C282" s="703">
        <v>11004902</v>
      </c>
      <c r="D282" s="704" t="s">
        <v>694</v>
      </c>
      <c r="E282" s="705"/>
      <c r="F282" s="706"/>
      <c r="G282" s="615">
        <f t="shared" ref="G282:G313" si="431">SUM(H282:M282)</f>
        <v>0</v>
      </c>
      <c r="H282" s="713" t="str">
        <f t="shared" ref="H282:J282" si="432">IF(H63="","",ROUND((H63+H63/(H$5-H$6)*H$6+H63/(H$5-H$6)*H$15)*$D$4,-3))</f>
        <v/>
      </c>
      <c r="I282" s="713" t="str">
        <f t="shared" si="432"/>
        <v/>
      </c>
      <c r="J282" s="713" t="str">
        <f t="shared" si="432"/>
        <v/>
      </c>
      <c r="K282" s="713" t="str">
        <f t="shared" ref="K282:L291" si="433">IF(K63="","",ROUND((K63+K63/(K$5-K$6)*K$6+K63/(K$5-K$6)*K$15)*$D$4,-3))</f>
        <v/>
      </c>
      <c r="L282" s="713" t="str">
        <f t="shared" si="433"/>
        <v/>
      </c>
      <c r="M282" s="713" t="str">
        <f t="shared" ref="M282:N282" si="434">IF(M63="","",ROUND((M63+M63/(M$5-M$6)*M$6+M63/(M$5-M$6)*M$15)*$D$4,-3))</f>
        <v/>
      </c>
      <c r="N282" s="713" t="str">
        <f t="shared" si="434"/>
        <v/>
      </c>
    </row>
    <row r="283" spans="1:14" s="532" customFormat="1" ht="13.5" hidden="1" customHeight="1">
      <c r="A283" s="701"/>
      <c r="B283" s="721"/>
      <c r="C283" s="703">
        <v>11004903</v>
      </c>
      <c r="D283" s="704" t="s">
        <v>695</v>
      </c>
      <c r="E283" s="705"/>
      <c r="F283" s="706"/>
      <c r="G283" s="615">
        <f t="shared" si="431"/>
        <v>0</v>
      </c>
      <c r="H283" s="713" t="str">
        <f t="shared" ref="H283:J283" si="435">IF(H64="","",ROUND((H64+H64/(H$5-H$6)*H$6+H64/(H$5-H$6)*H$15)*$D$4,-3))</f>
        <v/>
      </c>
      <c r="I283" s="713" t="str">
        <f t="shared" si="435"/>
        <v/>
      </c>
      <c r="J283" s="713" t="str">
        <f t="shared" si="435"/>
        <v/>
      </c>
      <c r="K283" s="713" t="str">
        <f t="shared" si="433"/>
        <v/>
      </c>
      <c r="L283" s="713" t="str">
        <f t="shared" si="433"/>
        <v/>
      </c>
      <c r="M283" s="713" t="str">
        <f t="shared" ref="M283:N283" si="436">IF(M64="","",ROUND((M64+M64/(M$5-M$6)*M$6+M64/(M$5-M$6)*M$15)*$D$4,-3))</f>
        <v/>
      </c>
      <c r="N283" s="713" t="str">
        <f t="shared" si="436"/>
        <v/>
      </c>
    </row>
    <row r="284" spans="1:14" s="532" customFormat="1" ht="13.5" hidden="1" customHeight="1">
      <c r="A284" s="701"/>
      <c r="B284" s="721"/>
      <c r="C284" s="703">
        <v>11004904</v>
      </c>
      <c r="D284" s="704" t="s">
        <v>696</v>
      </c>
      <c r="E284" s="705"/>
      <c r="F284" s="706"/>
      <c r="G284" s="615">
        <f t="shared" si="431"/>
        <v>0</v>
      </c>
      <c r="H284" s="713" t="str">
        <f t="shared" ref="H284:J284" si="437">IF(H65="","",ROUND((H65+H65/(H$5-H$6)*H$6+H65/(H$5-H$6)*H$15)*$D$4,-3))</f>
        <v/>
      </c>
      <c r="I284" s="713" t="str">
        <f t="shared" si="437"/>
        <v/>
      </c>
      <c r="J284" s="713" t="str">
        <f t="shared" si="437"/>
        <v/>
      </c>
      <c r="K284" s="713" t="str">
        <f t="shared" si="433"/>
        <v/>
      </c>
      <c r="L284" s="713" t="str">
        <f t="shared" si="433"/>
        <v/>
      </c>
      <c r="M284" s="713" t="str">
        <f t="shared" ref="M284:N284" si="438">IF(M65="","",ROUND((M65+M65/(M$5-M$6)*M$6+M65/(M$5-M$6)*M$15)*$D$4,-3))</f>
        <v/>
      </c>
      <c r="N284" s="713" t="str">
        <f t="shared" si="438"/>
        <v/>
      </c>
    </row>
    <row r="285" spans="1:14" s="532" customFormat="1" ht="13.5" hidden="1" customHeight="1">
      <c r="A285" s="701"/>
      <c r="B285" s="721"/>
      <c r="C285" s="703">
        <v>11004905</v>
      </c>
      <c r="D285" s="704" t="s">
        <v>697</v>
      </c>
      <c r="E285" s="705"/>
      <c r="F285" s="706"/>
      <c r="G285" s="615">
        <f t="shared" si="431"/>
        <v>0</v>
      </c>
      <c r="H285" s="713" t="str">
        <f t="shared" ref="H285:J285" si="439">IF(H66="","",ROUND((H66+H66/(H$5-H$6)*H$6+H66/(H$5-H$6)*H$15)*$D$4,-3))</f>
        <v/>
      </c>
      <c r="I285" s="713" t="str">
        <f t="shared" si="439"/>
        <v/>
      </c>
      <c r="J285" s="713" t="str">
        <f t="shared" si="439"/>
        <v/>
      </c>
      <c r="K285" s="713" t="str">
        <f t="shared" si="433"/>
        <v/>
      </c>
      <c r="L285" s="713" t="str">
        <f t="shared" si="433"/>
        <v/>
      </c>
      <c r="M285" s="713" t="str">
        <f t="shared" ref="M285:N285" si="440">IF(M66="","",ROUND((M66+M66/(M$5-M$6)*M$6+M66/(M$5-M$6)*M$15)*$D$4,-3))</f>
        <v/>
      </c>
      <c r="N285" s="713" t="str">
        <f t="shared" si="440"/>
        <v/>
      </c>
    </row>
    <row r="286" spans="1:14" s="532" customFormat="1" ht="13.5" hidden="1" customHeight="1">
      <c r="A286" s="701"/>
      <c r="B286" s="721"/>
      <c r="C286" s="703">
        <v>11004906</v>
      </c>
      <c r="D286" s="704" t="s">
        <v>698</v>
      </c>
      <c r="E286" s="705"/>
      <c r="F286" s="706"/>
      <c r="G286" s="615">
        <f t="shared" si="431"/>
        <v>0</v>
      </c>
      <c r="H286" s="713" t="str">
        <f t="shared" ref="H286:J286" si="441">IF(H67="","",ROUND((H67+H67/(H$5-H$6)*H$6+H67/(H$5-H$6)*H$15)*$D$4,-3))</f>
        <v/>
      </c>
      <c r="I286" s="713" t="str">
        <f t="shared" si="441"/>
        <v/>
      </c>
      <c r="J286" s="713" t="str">
        <f t="shared" si="441"/>
        <v/>
      </c>
      <c r="K286" s="713" t="str">
        <f t="shared" si="433"/>
        <v/>
      </c>
      <c r="L286" s="713" t="str">
        <f t="shared" si="433"/>
        <v/>
      </c>
      <c r="M286" s="713" t="str">
        <f t="shared" ref="M286:N286" si="442">IF(M67="","",ROUND((M67+M67/(M$5-M$6)*M$6+M67/(M$5-M$6)*M$15)*$D$4,-3))</f>
        <v/>
      </c>
      <c r="N286" s="713" t="str">
        <f t="shared" si="442"/>
        <v/>
      </c>
    </row>
    <row r="287" spans="1:14" s="532" customFormat="1" ht="13.5" hidden="1" customHeight="1">
      <c r="A287" s="701"/>
      <c r="B287" s="721"/>
      <c r="C287" s="703">
        <v>11004907</v>
      </c>
      <c r="D287" s="704" t="s">
        <v>699</v>
      </c>
      <c r="E287" s="705"/>
      <c r="F287" s="706"/>
      <c r="G287" s="615">
        <f t="shared" si="431"/>
        <v>0</v>
      </c>
      <c r="H287" s="713" t="str">
        <f t="shared" ref="H287:J287" si="443">IF(H68="","",ROUND((H68+H68/(H$5-H$6)*H$6+H68/(H$5-H$6)*H$15)*$D$4,-3))</f>
        <v/>
      </c>
      <c r="I287" s="713" t="str">
        <f t="shared" si="443"/>
        <v/>
      </c>
      <c r="J287" s="713" t="str">
        <f t="shared" si="443"/>
        <v/>
      </c>
      <c r="K287" s="713" t="str">
        <f t="shared" si="433"/>
        <v/>
      </c>
      <c r="L287" s="713" t="str">
        <f t="shared" si="433"/>
        <v/>
      </c>
      <c r="M287" s="713" t="str">
        <f t="shared" ref="M287:N287" si="444">IF(M68="","",ROUND((M68+M68/(M$5-M$6)*M$6+M68/(M$5-M$6)*M$15)*$D$4,-3))</f>
        <v/>
      </c>
      <c r="N287" s="713" t="str">
        <f t="shared" si="444"/>
        <v/>
      </c>
    </row>
    <row r="288" spans="1:14" s="532" customFormat="1" ht="13.5" hidden="1" customHeight="1">
      <c r="A288" s="701"/>
      <c r="B288" s="721"/>
      <c r="C288" s="703">
        <v>11004908</v>
      </c>
      <c r="D288" s="704" t="s">
        <v>700</v>
      </c>
      <c r="E288" s="705"/>
      <c r="F288" s="706"/>
      <c r="G288" s="615">
        <f t="shared" si="431"/>
        <v>0</v>
      </c>
      <c r="H288" s="713" t="str">
        <f t="shared" ref="H288:J288" si="445">IF(H69="","",ROUND((H69+H69/(H$5-H$6)*H$6+H69/(H$5-H$6)*H$15)*$D$4,-3))</f>
        <v/>
      </c>
      <c r="I288" s="713" t="str">
        <f t="shared" si="445"/>
        <v/>
      </c>
      <c r="J288" s="713" t="str">
        <f t="shared" si="445"/>
        <v/>
      </c>
      <c r="K288" s="713" t="str">
        <f t="shared" si="433"/>
        <v/>
      </c>
      <c r="L288" s="713" t="str">
        <f t="shared" si="433"/>
        <v/>
      </c>
      <c r="M288" s="713" t="str">
        <f t="shared" ref="M288:N288" si="446">IF(M69="","",ROUND((M69+M69/(M$5-M$6)*M$6+M69/(M$5-M$6)*M$15)*$D$4,-3))</f>
        <v/>
      </c>
      <c r="N288" s="713" t="str">
        <f t="shared" si="446"/>
        <v/>
      </c>
    </row>
    <row r="289" spans="1:14" s="532" customFormat="1" ht="13.5" hidden="1" customHeight="1">
      <c r="A289" s="701"/>
      <c r="B289" s="721"/>
      <c r="C289" s="703">
        <v>11004909</v>
      </c>
      <c r="D289" s="704" t="s">
        <v>701</v>
      </c>
      <c r="E289" s="705"/>
      <c r="F289" s="706"/>
      <c r="G289" s="615">
        <f t="shared" si="431"/>
        <v>0</v>
      </c>
      <c r="H289" s="713" t="str">
        <f t="shared" ref="H289:J289" si="447">IF(H70="","",ROUND((H70+H70/(H$5-H$6)*H$6+H70/(H$5-H$6)*H$15)*$D$4,-3))</f>
        <v/>
      </c>
      <c r="I289" s="713" t="str">
        <f t="shared" si="447"/>
        <v/>
      </c>
      <c r="J289" s="713" t="str">
        <f t="shared" si="447"/>
        <v/>
      </c>
      <c r="K289" s="713" t="str">
        <f t="shared" si="433"/>
        <v/>
      </c>
      <c r="L289" s="713" t="str">
        <f t="shared" si="433"/>
        <v/>
      </c>
      <c r="M289" s="713" t="str">
        <f t="shared" ref="M289:N289" si="448">IF(M70="","",ROUND((M70+M70/(M$5-M$6)*M$6+M70/(M$5-M$6)*M$15)*$D$4,-3))</f>
        <v/>
      </c>
      <c r="N289" s="713" t="str">
        <f t="shared" si="448"/>
        <v/>
      </c>
    </row>
    <row r="290" spans="1:14" s="532" customFormat="1" ht="13.5" hidden="1" customHeight="1">
      <c r="A290" s="701"/>
      <c r="B290" s="721"/>
      <c r="C290" s="703">
        <v>11004910</v>
      </c>
      <c r="D290" s="704" t="s">
        <v>702</v>
      </c>
      <c r="E290" s="705"/>
      <c r="F290" s="706"/>
      <c r="G290" s="615">
        <f t="shared" si="431"/>
        <v>0</v>
      </c>
      <c r="H290" s="713" t="str">
        <f t="shared" ref="H290:J290" si="449">IF(H71="","",ROUND((H71+H71/(H$5-H$6)*H$6+H71/(H$5-H$6)*H$15)*$D$4,-3))</f>
        <v/>
      </c>
      <c r="I290" s="713" t="str">
        <f t="shared" si="449"/>
        <v/>
      </c>
      <c r="J290" s="713" t="str">
        <f t="shared" si="449"/>
        <v/>
      </c>
      <c r="K290" s="713" t="str">
        <f t="shared" si="433"/>
        <v/>
      </c>
      <c r="L290" s="713" t="str">
        <f t="shared" si="433"/>
        <v/>
      </c>
      <c r="M290" s="713" t="str">
        <f t="shared" ref="M290:N290" si="450">IF(M71="","",ROUND((M71+M71/(M$5-M$6)*M$6+M71/(M$5-M$6)*M$15)*$D$4,-3))</f>
        <v/>
      </c>
      <c r="N290" s="713" t="str">
        <f t="shared" si="450"/>
        <v/>
      </c>
    </row>
    <row r="291" spans="1:14" s="532" customFormat="1" ht="13.5" hidden="1" customHeight="1">
      <c r="A291" s="701"/>
      <c r="B291" s="721"/>
      <c r="C291" s="703">
        <v>11004911</v>
      </c>
      <c r="D291" s="704" t="s">
        <v>703</v>
      </c>
      <c r="E291" s="705"/>
      <c r="F291" s="706"/>
      <c r="G291" s="615">
        <f t="shared" si="431"/>
        <v>0</v>
      </c>
      <c r="H291" s="770" t="str">
        <f t="shared" ref="H291:J291" si="451">IF(H72="","",ROUND((H72+H72/(H$5-H$6)*H$6+H72/(H$5-H$6)*H$15)*$D$4,-3))</f>
        <v/>
      </c>
      <c r="I291" s="770" t="str">
        <f t="shared" si="451"/>
        <v/>
      </c>
      <c r="J291" s="770" t="str">
        <f t="shared" si="451"/>
        <v/>
      </c>
      <c r="K291" s="770" t="str">
        <f t="shared" si="433"/>
        <v/>
      </c>
      <c r="L291" s="770" t="str">
        <f t="shared" si="433"/>
        <v/>
      </c>
      <c r="M291" s="770" t="str">
        <f t="shared" ref="M291:N291" si="452">IF(M72="","",ROUND((M72+M72/(M$5-M$6)*M$6+M72/(M$5-M$6)*M$15)*$D$4,-3))</f>
        <v/>
      </c>
      <c r="N291" s="770" t="str">
        <f t="shared" si="452"/>
        <v/>
      </c>
    </row>
    <row r="292" spans="1:14" s="532" customFormat="1" ht="13.5" hidden="1" customHeight="1">
      <c r="A292" s="701"/>
      <c r="B292" s="721"/>
      <c r="C292" s="703">
        <v>11005001</v>
      </c>
      <c r="D292" s="704" t="s">
        <v>704</v>
      </c>
      <c r="E292" s="705"/>
      <c r="F292" s="706"/>
      <c r="G292" s="615">
        <f t="shared" si="431"/>
        <v>0</v>
      </c>
      <c r="H292" s="713" t="str">
        <f t="shared" ref="H292:M292" si="453">IF(H$60="050変電所構築物",ROUND((H62+H62/(H$5-H$6)*H$6+H62/(H$5-H$6)*H$15)*$D$4,-3),"")</f>
        <v/>
      </c>
      <c r="I292" s="713" t="str">
        <f t="shared" si="453"/>
        <v/>
      </c>
      <c r="J292" s="713" t="str">
        <f t="shared" si="453"/>
        <v/>
      </c>
      <c r="K292" s="713" t="str">
        <f t="shared" si="453"/>
        <v/>
      </c>
      <c r="L292" s="713" t="str">
        <f t="shared" si="453"/>
        <v/>
      </c>
      <c r="M292" s="713" t="str">
        <f t="shared" si="453"/>
        <v/>
      </c>
      <c r="N292" s="713" t="str">
        <f t="shared" ref="N292" si="454">IF(N$60="050変電所構築物",ROUND((N62+N62/(N$5-N$6)*N$6+N62/(N$5-N$6)*N$15)*$D$4,-3),"")</f>
        <v/>
      </c>
    </row>
    <row r="293" spans="1:14" s="532" customFormat="1" ht="13.5" hidden="1" customHeight="1">
      <c r="A293" s="701"/>
      <c r="B293" s="721"/>
      <c r="C293" s="703">
        <v>11005002</v>
      </c>
      <c r="D293" s="704" t="s">
        <v>705</v>
      </c>
      <c r="E293" s="705"/>
      <c r="F293" s="706"/>
      <c r="G293" s="615">
        <f t="shared" si="431"/>
        <v>0</v>
      </c>
      <c r="H293" s="713" t="str">
        <f t="shared" ref="H293:J293" si="455">IF(H$60="050変電所構築物",ROUND((H63+H63/(H$5-H$6)*H$6+H63/(H$5-H$6)*H$15)*$D$4,-3),"")</f>
        <v/>
      </c>
      <c r="I293" s="713" t="str">
        <f t="shared" si="455"/>
        <v/>
      </c>
      <c r="J293" s="713" t="str">
        <f t="shared" si="455"/>
        <v/>
      </c>
      <c r="K293" s="713" t="str">
        <f t="shared" ref="K293:L302" si="456">IF(K$60="050変電所構築物",ROUND((K63+K63/(K$5-K$6)*K$6+K63/(K$5-K$6)*K$15)*$D$4,-3),"")</f>
        <v/>
      </c>
      <c r="L293" s="713" t="str">
        <f t="shared" si="456"/>
        <v/>
      </c>
      <c r="M293" s="713" t="str">
        <f t="shared" ref="M293:N293" si="457">IF(M$60="050変電所構築物",ROUND((M63+M63/(M$5-M$6)*M$6+M63/(M$5-M$6)*M$15)*$D$4,-3),"")</f>
        <v/>
      </c>
      <c r="N293" s="713" t="str">
        <f t="shared" si="457"/>
        <v/>
      </c>
    </row>
    <row r="294" spans="1:14" s="532" customFormat="1" ht="13.5" hidden="1" customHeight="1">
      <c r="A294" s="701"/>
      <c r="B294" s="721"/>
      <c r="C294" s="703">
        <v>11005003</v>
      </c>
      <c r="D294" s="704" t="s">
        <v>706</v>
      </c>
      <c r="E294" s="705"/>
      <c r="F294" s="706"/>
      <c r="G294" s="615">
        <f t="shared" si="431"/>
        <v>0</v>
      </c>
      <c r="H294" s="713" t="str">
        <f t="shared" ref="H294:J294" si="458">IF(H$60="050変電所構築物",ROUND((H64+H64/(H$5-H$6)*H$6+H64/(H$5-H$6)*H$15)*$D$4,-3),"")</f>
        <v/>
      </c>
      <c r="I294" s="713" t="str">
        <f t="shared" si="458"/>
        <v/>
      </c>
      <c r="J294" s="713" t="str">
        <f t="shared" si="458"/>
        <v/>
      </c>
      <c r="K294" s="713" t="str">
        <f t="shared" si="456"/>
        <v/>
      </c>
      <c r="L294" s="713" t="str">
        <f t="shared" si="456"/>
        <v/>
      </c>
      <c r="M294" s="713" t="str">
        <f t="shared" ref="M294:N294" si="459">IF(M$60="050変電所構築物",ROUND((M64+M64/(M$5-M$6)*M$6+M64/(M$5-M$6)*M$15)*$D$4,-3),"")</f>
        <v/>
      </c>
      <c r="N294" s="713" t="str">
        <f t="shared" si="459"/>
        <v/>
      </c>
    </row>
    <row r="295" spans="1:14" s="532" customFormat="1" ht="13.5" hidden="1" customHeight="1">
      <c r="A295" s="701"/>
      <c r="B295" s="721"/>
      <c r="C295" s="703">
        <v>11005004</v>
      </c>
      <c r="D295" s="704" t="s">
        <v>707</v>
      </c>
      <c r="E295" s="705"/>
      <c r="F295" s="706"/>
      <c r="G295" s="615">
        <f t="shared" si="431"/>
        <v>0</v>
      </c>
      <c r="H295" s="713" t="str">
        <f t="shared" ref="H295:J295" si="460">IF(H$60="050変電所構築物",ROUND((H65+H65/(H$5-H$6)*H$6+H65/(H$5-H$6)*H$15)*$D$4,-3),"")</f>
        <v/>
      </c>
      <c r="I295" s="713" t="str">
        <f t="shared" si="460"/>
        <v/>
      </c>
      <c r="J295" s="713" t="str">
        <f t="shared" si="460"/>
        <v/>
      </c>
      <c r="K295" s="713" t="str">
        <f t="shared" si="456"/>
        <v/>
      </c>
      <c r="L295" s="713" t="str">
        <f t="shared" si="456"/>
        <v/>
      </c>
      <c r="M295" s="713" t="str">
        <f t="shared" ref="M295:N295" si="461">IF(M$60="050変電所構築物",ROUND((M65+M65/(M$5-M$6)*M$6+M65/(M$5-M$6)*M$15)*$D$4,-3),"")</f>
        <v/>
      </c>
      <c r="N295" s="713" t="str">
        <f t="shared" si="461"/>
        <v/>
      </c>
    </row>
    <row r="296" spans="1:14" s="532" customFormat="1" ht="13.5" hidden="1" customHeight="1">
      <c r="A296" s="701"/>
      <c r="B296" s="721"/>
      <c r="C296" s="703">
        <v>11005005</v>
      </c>
      <c r="D296" s="704" t="s">
        <v>708</v>
      </c>
      <c r="E296" s="705"/>
      <c r="F296" s="706"/>
      <c r="G296" s="615">
        <f t="shared" si="431"/>
        <v>0</v>
      </c>
      <c r="H296" s="713" t="str">
        <f t="shared" ref="H296:J296" si="462">IF(H$60="050変電所構築物",ROUND((H66+H66/(H$5-H$6)*H$6+H66/(H$5-H$6)*H$15)*$D$4,-3),"")</f>
        <v/>
      </c>
      <c r="I296" s="713" t="str">
        <f t="shared" si="462"/>
        <v/>
      </c>
      <c r="J296" s="713" t="str">
        <f t="shared" si="462"/>
        <v/>
      </c>
      <c r="K296" s="713" t="str">
        <f t="shared" si="456"/>
        <v/>
      </c>
      <c r="L296" s="713" t="str">
        <f t="shared" si="456"/>
        <v/>
      </c>
      <c r="M296" s="713" t="str">
        <f t="shared" ref="M296:N296" si="463">IF(M$60="050変電所構築物",ROUND((M66+M66/(M$5-M$6)*M$6+M66/(M$5-M$6)*M$15)*$D$4,-3),"")</f>
        <v/>
      </c>
      <c r="N296" s="713" t="str">
        <f t="shared" si="463"/>
        <v/>
      </c>
    </row>
    <row r="297" spans="1:14" s="532" customFormat="1" ht="13.5" hidden="1" customHeight="1">
      <c r="A297" s="701"/>
      <c r="B297" s="721"/>
      <c r="C297" s="703">
        <v>11005006</v>
      </c>
      <c r="D297" s="704" t="s">
        <v>709</v>
      </c>
      <c r="E297" s="705"/>
      <c r="F297" s="706"/>
      <c r="G297" s="615">
        <f t="shared" si="431"/>
        <v>0</v>
      </c>
      <c r="H297" s="713" t="str">
        <f t="shared" ref="H297:J297" si="464">IF(H$60="050変電所構築物",ROUND((H67+H67/(H$5-H$6)*H$6+H67/(H$5-H$6)*H$15)*$D$4,-3),"")</f>
        <v/>
      </c>
      <c r="I297" s="713" t="str">
        <f t="shared" si="464"/>
        <v/>
      </c>
      <c r="J297" s="713" t="str">
        <f t="shared" si="464"/>
        <v/>
      </c>
      <c r="K297" s="713" t="str">
        <f t="shared" si="456"/>
        <v/>
      </c>
      <c r="L297" s="713" t="str">
        <f t="shared" si="456"/>
        <v/>
      </c>
      <c r="M297" s="713" t="str">
        <f t="shared" ref="M297:N297" si="465">IF(M$60="050変電所構築物",ROUND((M67+M67/(M$5-M$6)*M$6+M67/(M$5-M$6)*M$15)*$D$4,-3),"")</f>
        <v/>
      </c>
      <c r="N297" s="713" t="str">
        <f t="shared" si="465"/>
        <v/>
      </c>
    </row>
    <row r="298" spans="1:14" s="532" customFormat="1" ht="13.5" hidden="1" customHeight="1">
      <c r="A298" s="701"/>
      <c r="B298" s="721"/>
      <c r="C298" s="703">
        <v>11005007</v>
      </c>
      <c r="D298" s="704" t="s">
        <v>710</v>
      </c>
      <c r="E298" s="705"/>
      <c r="F298" s="706"/>
      <c r="G298" s="615">
        <f t="shared" si="431"/>
        <v>0</v>
      </c>
      <c r="H298" s="713" t="str">
        <f t="shared" ref="H298:J298" si="466">IF(H$60="050変電所構築物",ROUND((H68+H68/(H$5-H$6)*H$6+H68/(H$5-H$6)*H$15)*$D$4,-3),"")</f>
        <v/>
      </c>
      <c r="I298" s="713" t="str">
        <f t="shared" si="466"/>
        <v/>
      </c>
      <c r="J298" s="713" t="str">
        <f t="shared" si="466"/>
        <v/>
      </c>
      <c r="K298" s="713" t="str">
        <f t="shared" si="456"/>
        <v/>
      </c>
      <c r="L298" s="713" t="str">
        <f t="shared" si="456"/>
        <v/>
      </c>
      <c r="M298" s="713" t="str">
        <f t="shared" ref="M298:N298" si="467">IF(M$60="050変電所構築物",ROUND((M68+M68/(M$5-M$6)*M$6+M68/(M$5-M$6)*M$15)*$D$4,-3),"")</f>
        <v/>
      </c>
      <c r="N298" s="713" t="str">
        <f t="shared" si="467"/>
        <v/>
      </c>
    </row>
    <row r="299" spans="1:14" s="532" customFormat="1" ht="13.5" hidden="1" customHeight="1">
      <c r="A299" s="701"/>
      <c r="B299" s="721"/>
      <c r="C299" s="703">
        <v>11005008</v>
      </c>
      <c r="D299" s="704" t="s">
        <v>711</v>
      </c>
      <c r="E299" s="705"/>
      <c r="F299" s="706"/>
      <c r="G299" s="615">
        <f t="shared" si="431"/>
        <v>0</v>
      </c>
      <c r="H299" s="713" t="str">
        <f t="shared" ref="H299:J299" si="468">IF(H$60="050変電所構築物",ROUND((H69+H69/(H$5-H$6)*H$6+H69/(H$5-H$6)*H$15)*$D$4,-3),"")</f>
        <v/>
      </c>
      <c r="I299" s="713" t="str">
        <f t="shared" si="468"/>
        <v/>
      </c>
      <c r="J299" s="713" t="str">
        <f t="shared" si="468"/>
        <v/>
      </c>
      <c r="K299" s="713" t="str">
        <f t="shared" si="456"/>
        <v/>
      </c>
      <c r="L299" s="713" t="str">
        <f t="shared" si="456"/>
        <v/>
      </c>
      <c r="M299" s="713" t="str">
        <f t="shared" ref="M299:N299" si="469">IF(M$60="050変電所構築物",ROUND((M69+M69/(M$5-M$6)*M$6+M69/(M$5-M$6)*M$15)*$D$4,-3),"")</f>
        <v/>
      </c>
      <c r="N299" s="713" t="str">
        <f t="shared" si="469"/>
        <v/>
      </c>
    </row>
    <row r="300" spans="1:14" s="532" customFormat="1" ht="13.5" hidden="1" customHeight="1">
      <c r="A300" s="701"/>
      <c r="B300" s="721"/>
      <c r="C300" s="703">
        <v>11005009</v>
      </c>
      <c r="D300" s="704" t="s">
        <v>712</v>
      </c>
      <c r="E300" s="705"/>
      <c r="F300" s="706"/>
      <c r="G300" s="615">
        <f t="shared" si="431"/>
        <v>0</v>
      </c>
      <c r="H300" s="713" t="str">
        <f t="shared" ref="H300:J300" si="470">IF(H$60="050変電所構築物",ROUND((H70+H70/(H$5-H$6)*H$6+H70/(H$5-H$6)*H$15)*$D$4,-3),"")</f>
        <v/>
      </c>
      <c r="I300" s="713" t="str">
        <f t="shared" si="470"/>
        <v/>
      </c>
      <c r="J300" s="713" t="str">
        <f t="shared" si="470"/>
        <v/>
      </c>
      <c r="K300" s="713" t="str">
        <f t="shared" si="456"/>
        <v/>
      </c>
      <c r="L300" s="713" t="str">
        <f t="shared" si="456"/>
        <v/>
      </c>
      <c r="M300" s="713" t="str">
        <f t="shared" ref="M300:N300" si="471">IF(M$60="050変電所構築物",ROUND((M70+M70/(M$5-M$6)*M$6+M70/(M$5-M$6)*M$15)*$D$4,-3),"")</f>
        <v/>
      </c>
      <c r="N300" s="713" t="str">
        <f t="shared" si="471"/>
        <v/>
      </c>
    </row>
    <row r="301" spans="1:14" s="532" customFormat="1" ht="13.5" hidden="1" customHeight="1">
      <c r="A301" s="701"/>
      <c r="B301" s="721"/>
      <c r="C301" s="703">
        <v>11005010</v>
      </c>
      <c r="D301" s="704" t="s">
        <v>713</v>
      </c>
      <c r="E301" s="705"/>
      <c r="F301" s="706"/>
      <c r="G301" s="615">
        <f t="shared" si="431"/>
        <v>0</v>
      </c>
      <c r="H301" s="713" t="str">
        <f t="shared" ref="H301:J301" si="472">IF(H$60="050変電所構築物",ROUND((H71+H71/(H$5-H$6)*H$6+H71/(H$5-H$6)*H$15)*$D$4,-3),"")</f>
        <v/>
      </c>
      <c r="I301" s="713" t="str">
        <f t="shared" si="472"/>
        <v/>
      </c>
      <c r="J301" s="713" t="str">
        <f t="shared" si="472"/>
        <v/>
      </c>
      <c r="K301" s="713" t="str">
        <f t="shared" si="456"/>
        <v/>
      </c>
      <c r="L301" s="713" t="str">
        <f t="shared" si="456"/>
        <v/>
      </c>
      <c r="M301" s="713" t="str">
        <f t="shared" ref="M301:N301" si="473">IF(M$60="050変電所構築物",ROUND((M71+M71/(M$5-M$6)*M$6+M71/(M$5-M$6)*M$15)*$D$4,-3),"")</f>
        <v/>
      </c>
      <c r="N301" s="713" t="str">
        <f t="shared" si="473"/>
        <v/>
      </c>
    </row>
    <row r="302" spans="1:14" s="532" customFormat="1" ht="13.5" hidden="1" customHeight="1">
      <c r="A302" s="701"/>
      <c r="B302" s="721"/>
      <c r="C302" s="703">
        <v>11005011</v>
      </c>
      <c r="D302" s="704" t="s">
        <v>714</v>
      </c>
      <c r="E302" s="705"/>
      <c r="F302" s="706"/>
      <c r="G302" s="615">
        <f t="shared" si="431"/>
        <v>0</v>
      </c>
      <c r="H302" s="713" t="str">
        <f t="shared" ref="H302:J302" si="474">IF(H$60="050変電所構築物",ROUND((H72+H72/(H$5-H$6)*H$6+H72/(H$5-H$6)*H$15)*$D$4,-3),"")</f>
        <v/>
      </c>
      <c r="I302" s="713" t="str">
        <f t="shared" si="474"/>
        <v/>
      </c>
      <c r="J302" s="713" t="str">
        <f t="shared" si="474"/>
        <v/>
      </c>
      <c r="K302" s="713" t="str">
        <f t="shared" si="456"/>
        <v/>
      </c>
      <c r="L302" s="713" t="str">
        <f t="shared" si="456"/>
        <v/>
      </c>
      <c r="M302" s="713" t="str">
        <f t="shared" ref="M302:N302" si="475">IF(M$60="050変電所構築物",ROUND((M72+M72/(M$5-M$6)*M$6+M72/(M$5-M$6)*M$15)*$D$4,-3),"")</f>
        <v/>
      </c>
      <c r="N302" s="713" t="str">
        <f t="shared" si="475"/>
        <v/>
      </c>
    </row>
    <row r="303" spans="1:14" s="532" customFormat="1" ht="13.5" hidden="1" customHeight="1">
      <c r="A303" s="701"/>
      <c r="B303" s="721"/>
      <c r="C303" s="703">
        <v>11099901</v>
      </c>
      <c r="D303" s="704" t="s">
        <v>715</v>
      </c>
      <c r="E303" s="705"/>
      <c r="F303" s="706"/>
      <c r="G303" s="615">
        <f t="shared" si="431"/>
        <v>0</v>
      </c>
      <c r="H303" s="713" t="str">
        <f t="shared" ref="H303:M303" si="476">IF(H$60="999雑構築物",ROUND((H62+H62/(H$5-H$6)*H$6+H62/(H$5-H$6)*H$15)*$D$4,-3),"")</f>
        <v/>
      </c>
      <c r="I303" s="713" t="str">
        <f t="shared" si="476"/>
        <v/>
      </c>
      <c r="J303" s="713" t="str">
        <f t="shared" si="476"/>
        <v/>
      </c>
      <c r="K303" s="713" t="str">
        <f t="shared" si="476"/>
        <v/>
      </c>
      <c r="L303" s="713" t="str">
        <f t="shared" si="476"/>
        <v/>
      </c>
      <c r="M303" s="713" t="str">
        <f t="shared" si="476"/>
        <v/>
      </c>
      <c r="N303" s="713" t="str">
        <f t="shared" ref="N303" si="477">IF(N$60="999雑構築物",ROUND((N62+N62/(N$5-N$6)*N$6+N62/(N$5-N$6)*N$15)*$D$4,-3),"")</f>
        <v/>
      </c>
    </row>
    <row r="304" spans="1:14" s="532" customFormat="1" ht="13.5" hidden="1" customHeight="1">
      <c r="A304" s="701"/>
      <c r="B304" s="721"/>
      <c r="C304" s="703">
        <v>11099902</v>
      </c>
      <c r="D304" s="704" t="s">
        <v>716</v>
      </c>
      <c r="E304" s="705"/>
      <c r="F304" s="706"/>
      <c r="G304" s="615">
        <f t="shared" si="431"/>
        <v>0</v>
      </c>
      <c r="H304" s="713" t="str">
        <f t="shared" ref="H304:J304" si="478">IF(H$60="999雑構築物",ROUND((H63+H63/(H$5-H$6)*H$6+H63/(H$5-H$6)*H$15)*$D$4,-3),"")</f>
        <v/>
      </c>
      <c r="I304" s="713" t="str">
        <f t="shared" si="478"/>
        <v/>
      </c>
      <c r="J304" s="713" t="str">
        <f t="shared" si="478"/>
        <v/>
      </c>
      <c r="K304" s="713" t="str">
        <f t="shared" ref="K304:L313" si="479">IF(K$60="999雑構築物",ROUND((K63+K63/(K$5-K$6)*K$6+K63/(K$5-K$6)*K$15)*$D$4,-3),"")</f>
        <v/>
      </c>
      <c r="L304" s="713" t="str">
        <f t="shared" si="479"/>
        <v/>
      </c>
      <c r="M304" s="713" t="str">
        <f t="shared" ref="M304:N304" si="480">IF(M$60="999雑構築物",ROUND((M63+M63/(M$5-M$6)*M$6+M63/(M$5-M$6)*M$15)*$D$4,-3),"")</f>
        <v/>
      </c>
      <c r="N304" s="713" t="str">
        <f t="shared" si="480"/>
        <v/>
      </c>
    </row>
    <row r="305" spans="1:14" s="532" customFormat="1" ht="13.5" hidden="1" customHeight="1">
      <c r="A305" s="701"/>
      <c r="B305" s="721"/>
      <c r="C305" s="703">
        <v>11099903</v>
      </c>
      <c r="D305" s="704" t="s">
        <v>717</v>
      </c>
      <c r="E305" s="705"/>
      <c r="F305" s="706"/>
      <c r="G305" s="615">
        <f t="shared" si="431"/>
        <v>0</v>
      </c>
      <c r="H305" s="713" t="str">
        <f t="shared" ref="H305:J305" si="481">IF(H$60="999雑構築物",ROUND((H64+H64/(H$5-H$6)*H$6+H64/(H$5-H$6)*H$15)*$D$4,-3),"")</f>
        <v/>
      </c>
      <c r="I305" s="713" t="str">
        <f t="shared" si="481"/>
        <v/>
      </c>
      <c r="J305" s="713" t="str">
        <f t="shared" si="481"/>
        <v/>
      </c>
      <c r="K305" s="713" t="str">
        <f t="shared" si="479"/>
        <v/>
      </c>
      <c r="L305" s="713" t="str">
        <f t="shared" si="479"/>
        <v/>
      </c>
      <c r="M305" s="713" t="str">
        <f t="shared" ref="M305:N305" si="482">IF(M$60="999雑構築物",ROUND((M64+M64/(M$5-M$6)*M$6+M64/(M$5-M$6)*M$15)*$D$4,-3),"")</f>
        <v/>
      </c>
      <c r="N305" s="713" t="str">
        <f t="shared" si="482"/>
        <v/>
      </c>
    </row>
    <row r="306" spans="1:14" s="532" customFormat="1" ht="13.5" hidden="1" customHeight="1">
      <c r="A306" s="701"/>
      <c r="B306" s="721"/>
      <c r="C306" s="703">
        <v>11099904</v>
      </c>
      <c r="D306" s="704" t="s">
        <v>718</v>
      </c>
      <c r="E306" s="705"/>
      <c r="F306" s="706"/>
      <c r="G306" s="615">
        <f t="shared" si="431"/>
        <v>0</v>
      </c>
      <c r="H306" s="713" t="str">
        <f t="shared" ref="H306:J306" si="483">IF(H$60="999雑構築物",ROUND((H65+H65/(H$5-H$6)*H$6+H65/(H$5-H$6)*H$15)*$D$4,-3),"")</f>
        <v/>
      </c>
      <c r="I306" s="713" t="str">
        <f t="shared" si="483"/>
        <v/>
      </c>
      <c r="J306" s="713" t="str">
        <f t="shared" si="483"/>
        <v/>
      </c>
      <c r="K306" s="713" t="str">
        <f t="shared" si="479"/>
        <v/>
      </c>
      <c r="L306" s="713" t="str">
        <f t="shared" si="479"/>
        <v/>
      </c>
      <c r="M306" s="713" t="str">
        <f t="shared" ref="M306:N306" si="484">IF(M$60="999雑構築物",ROUND((M65+M65/(M$5-M$6)*M$6+M65/(M$5-M$6)*M$15)*$D$4,-3),"")</f>
        <v/>
      </c>
      <c r="N306" s="713" t="str">
        <f t="shared" si="484"/>
        <v/>
      </c>
    </row>
    <row r="307" spans="1:14" s="532" customFormat="1" ht="13.5" hidden="1" customHeight="1">
      <c r="A307" s="701"/>
      <c r="B307" s="721"/>
      <c r="C307" s="703">
        <v>11099905</v>
      </c>
      <c r="D307" s="704" t="s">
        <v>719</v>
      </c>
      <c r="E307" s="705"/>
      <c r="F307" s="706"/>
      <c r="G307" s="615">
        <f t="shared" si="431"/>
        <v>0</v>
      </c>
      <c r="H307" s="713" t="str">
        <f t="shared" ref="H307:J307" si="485">IF(H$60="999雑構築物",ROUND((H66+H66/(H$5-H$6)*H$6+H66/(H$5-H$6)*H$15)*$D$4,-3),"")</f>
        <v/>
      </c>
      <c r="I307" s="713" t="str">
        <f t="shared" si="485"/>
        <v/>
      </c>
      <c r="J307" s="713" t="str">
        <f t="shared" si="485"/>
        <v/>
      </c>
      <c r="K307" s="713" t="str">
        <f t="shared" si="479"/>
        <v/>
      </c>
      <c r="L307" s="713" t="str">
        <f t="shared" si="479"/>
        <v/>
      </c>
      <c r="M307" s="713" t="str">
        <f t="shared" ref="M307:N307" si="486">IF(M$60="999雑構築物",ROUND((M66+M66/(M$5-M$6)*M$6+M66/(M$5-M$6)*M$15)*$D$4,-3),"")</f>
        <v/>
      </c>
      <c r="N307" s="713" t="str">
        <f t="shared" si="486"/>
        <v/>
      </c>
    </row>
    <row r="308" spans="1:14" s="532" customFormat="1" ht="13.5" hidden="1" customHeight="1">
      <c r="A308" s="701"/>
      <c r="B308" s="721"/>
      <c r="C308" s="703">
        <v>11099906</v>
      </c>
      <c r="D308" s="704" t="s">
        <v>720</v>
      </c>
      <c r="E308" s="705"/>
      <c r="F308" s="706"/>
      <c r="G308" s="615">
        <f t="shared" si="431"/>
        <v>0</v>
      </c>
      <c r="H308" s="713" t="str">
        <f t="shared" ref="H308:J308" si="487">IF(H$60="999雑構築物",ROUND((H67+H67/(H$5-H$6)*H$6+H67/(H$5-H$6)*H$15)*$D$4,-3),"")</f>
        <v/>
      </c>
      <c r="I308" s="713" t="str">
        <f t="shared" si="487"/>
        <v/>
      </c>
      <c r="J308" s="713" t="str">
        <f t="shared" si="487"/>
        <v/>
      </c>
      <c r="K308" s="713" t="str">
        <f t="shared" si="479"/>
        <v/>
      </c>
      <c r="L308" s="713" t="str">
        <f t="shared" si="479"/>
        <v/>
      </c>
      <c r="M308" s="713" t="str">
        <f t="shared" ref="M308:N308" si="488">IF(M$60="999雑構築物",ROUND((M67+M67/(M$5-M$6)*M$6+M67/(M$5-M$6)*M$15)*$D$4,-3),"")</f>
        <v/>
      </c>
      <c r="N308" s="713" t="str">
        <f t="shared" si="488"/>
        <v/>
      </c>
    </row>
    <row r="309" spans="1:14" s="532" customFormat="1" ht="13.5" hidden="1" customHeight="1">
      <c r="A309" s="701"/>
      <c r="B309" s="721"/>
      <c r="C309" s="703">
        <v>11099907</v>
      </c>
      <c r="D309" s="704" t="s">
        <v>721</v>
      </c>
      <c r="E309" s="705"/>
      <c r="F309" s="706"/>
      <c r="G309" s="615">
        <f t="shared" si="431"/>
        <v>0</v>
      </c>
      <c r="H309" s="713" t="str">
        <f t="shared" ref="H309:J309" si="489">IF(H$60="999雑構築物",ROUND((H68+H68/(H$5-H$6)*H$6+H68/(H$5-H$6)*H$15)*$D$4,-3),"")</f>
        <v/>
      </c>
      <c r="I309" s="713" t="str">
        <f t="shared" si="489"/>
        <v/>
      </c>
      <c r="J309" s="713" t="str">
        <f t="shared" si="489"/>
        <v/>
      </c>
      <c r="K309" s="713" t="str">
        <f t="shared" si="479"/>
        <v/>
      </c>
      <c r="L309" s="713" t="str">
        <f t="shared" si="479"/>
        <v/>
      </c>
      <c r="M309" s="713" t="str">
        <f t="shared" ref="M309:N309" si="490">IF(M$60="999雑構築物",ROUND((M68+M68/(M$5-M$6)*M$6+M68/(M$5-M$6)*M$15)*$D$4,-3),"")</f>
        <v/>
      </c>
      <c r="N309" s="713" t="str">
        <f t="shared" si="490"/>
        <v/>
      </c>
    </row>
    <row r="310" spans="1:14" s="532" customFormat="1" ht="13.5" hidden="1" customHeight="1">
      <c r="A310" s="701"/>
      <c r="B310" s="721"/>
      <c r="C310" s="703">
        <v>11099908</v>
      </c>
      <c r="D310" s="704" t="s">
        <v>722</v>
      </c>
      <c r="E310" s="705"/>
      <c r="F310" s="706"/>
      <c r="G310" s="615">
        <f t="shared" si="431"/>
        <v>0</v>
      </c>
      <c r="H310" s="707" t="str">
        <f t="shared" ref="H310:J310" si="491">IF(H$60="999雑構築物",ROUND((H69+H69/(H$5-H$6)*H$6+H69/(H$5-H$6)*H$15)*$D$4,-3),"")</f>
        <v/>
      </c>
      <c r="I310" s="707" t="str">
        <f t="shared" si="491"/>
        <v/>
      </c>
      <c r="J310" s="707" t="str">
        <f t="shared" si="491"/>
        <v/>
      </c>
      <c r="K310" s="707" t="str">
        <f t="shared" si="479"/>
        <v/>
      </c>
      <c r="L310" s="707" t="str">
        <f t="shared" si="479"/>
        <v/>
      </c>
      <c r="M310" s="707" t="str">
        <f t="shared" ref="M310:N310" si="492">IF(M$60="999雑構築物",ROUND((M69+M69/(M$5-M$6)*M$6+M69/(M$5-M$6)*M$15)*$D$4,-3),"")</f>
        <v/>
      </c>
      <c r="N310" s="707" t="str">
        <f t="shared" si="492"/>
        <v/>
      </c>
    </row>
    <row r="311" spans="1:14" s="532" customFormat="1" ht="13.5" hidden="1" customHeight="1">
      <c r="A311" s="701"/>
      <c r="B311" s="721"/>
      <c r="C311" s="703">
        <v>11099909</v>
      </c>
      <c r="D311" s="704" t="s">
        <v>723</v>
      </c>
      <c r="E311" s="705"/>
      <c r="F311" s="706"/>
      <c r="G311" s="615">
        <f t="shared" si="431"/>
        <v>0</v>
      </c>
      <c r="H311" s="713" t="str">
        <f t="shared" ref="H311:J311" si="493">IF(H$60="999雑構築物",ROUND((H70+H70/(H$5-H$6)*H$6+H70/(H$5-H$6)*H$15)*$D$4,-3),"")</f>
        <v/>
      </c>
      <c r="I311" s="713" t="str">
        <f t="shared" si="493"/>
        <v/>
      </c>
      <c r="J311" s="713" t="str">
        <f t="shared" si="493"/>
        <v/>
      </c>
      <c r="K311" s="713" t="str">
        <f t="shared" si="479"/>
        <v/>
      </c>
      <c r="L311" s="713" t="str">
        <f t="shared" si="479"/>
        <v/>
      </c>
      <c r="M311" s="713" t="str">
        <f t="shared" ref="M311:N311" si="494">IF(M$60="999雑構築物",ROUND((M70+M70/(M$5-M$6)*M$6+M70/(M$5-M$6)*M$15)*$D$4,-3),"")</f>
        <v/>
      </c>
      <c r="N311" s="713" t="str">
        <f t="shared" si="494"/>
        <v/>
      </c>
    </row>
    <row r="312" spans="1:14" s="532" customFormat="1" ht="13.5" hidden="1" customHeight="1">
      <c r="A312" s="701"/>
      <c r="B312" s="721"/>
      <c r="C312" s="703">
        <v>11099910</v>
      </c>
      <c r="D312" s="704" t="s">
        <v>724</v>
      </c>
      <c r="E312" s="705"/>
      <c r="F312" s="706"/>
      <c r="G312" s="615">
        <f t="shared" si="431"/>
        <v>0</v>
      </c>
      <c r="H312" s="713" t="str">
        <f t="shared" ref="H312:J312" si="495">IF(H$60="999雑構築物",ROUND((H71+H71/(H$5-H$6)*H$6+H71/(H$5-H$6)*H$15)*$D$4,-3),"")</f>
        <v/>
      </c>
      <c r="I312" s="713" t="str">
        <f t="shared" si="495"/>
        <v/>
      </c>
      <c r="J312" s="713" t="str">
        <f t="shared" si="495"/>
        <v/>
      </c>
      <c r="K312" s="713" t="str">
        <f t="shared" si="479"/>
        <v/>
      </c>
      <c r="L312" s="713" t="str">
        <f t="shared" si="479"/>
        <v/>
      </c>
      <c r="M312" s="713" t="str">
        <f t="shared" ref="M312:N312" si="496">IF(M$60="999雑構築物",ROUND((M71+M71/(M$5-M$6)*M$6+M71/(M$5-M$6)*M$15)*$D$4,-3),"")</f>
        <v/>
      </c>
      <c r="N312" s="713" t="str">
        <f t="shared" si="496"/>
        <v/>
      </c>
    </row>
    <row r="313" spans="1:14" s="532" customFormat="1" ht="13.5" hidden="1" customHeight="1">
      <c r="A313" s="701"/>
      <c r="B313" s="721"/>
      <c r="C313" s="703">
        <v>11099911</v>
      </c>
      <c r="D313" s="704" t="s">
        <v>725</v>
      </c>
      <c r="E313" s="705"/>
      <c r="F313" s="706"/>
      <c r="G313" s="615">
        <f t="shared" si="431"/>
        <v>0</v>
      </c>
      <c r="H313" s="713" t="str">
        <f t="shared" ref="H313:J313" si="497">IF(H$60="999雑構築物",ROUND((H72+H72/(H$5-H$6)*H$6+H72/(H$5-H$6)*H$15)*$D$4,-3),"")</f>
        <v/>
      </c>
      <c r="I313" s="713" t="str">
        <f t="shared" si="497"/>
        <v/>
      </c>
      <c r="J313" s="713" t="str">
        <f t="shared" si="497"/>
        <v/>
      </c>
      <c r="K313" s="713" t="str">
        <f t="shared" si="479"/>
        <v/>
      </c>
      <c r="L313" s="713" t="str">
        <f t="shared" si="479"/>
        <v/>
      </c>
      <c r="M313" s="713" t="str">
        <f t="shared" ref="M313:N313" si="498">IF(M$60="999雑構築物",ROUND((M72+M72/(M$5-M$6)*M$6+M72/(M$5-M$6)*M$15)*$D$4,-3),"")</f>
        <v/>
      </c>
      <c r="N313" s="713" t="str">
        <f t="shared" si="498"/>
        <v/>
      </c>
    </row>
    <row r="314" spans="1:14" s="720" customFormat="1" ht="13.5" hidden="1" customHeight="1">
      <c r="A314" s="715"/>
      <c r="B314" s="716"/>
      <c r="C314" s="716"/>
      <c r="D314" s="716"/>
      <c r="E314" s="716"/>
      <c r="F314" s="717" t="s">
        <v>2485</v>
      </c>
      <c r="G314" s="718">
        <f>SUM(H314:M314)</f>
        <v>0</v>
      </c>
      <c r="H314" s="722">
        <f t="shared" ref="H314:M314" si="499">IF(H4="費用",0,SUM(H279:H313))</f>
        <v>0</v>
      </c>
      <c r="I314" s="722">
        <f t="shared" si="499"/>
        <v>0</v>
      </c>
      <c r="J314" s="722">
        <f t="shared" si="499"/>
        <v>0</v>
      </c>
      <c r="K314" s="722">
        <f t="shared" si="499"/>
        <v>0</v>
      </c>
      <c r="L314" s="722">
        <f t="shared" si="499"/>
        <v>0</v>
      </c>
      <c r="M314" s="722">
        <f t="shared" si="499"/>
        <v>0</v>
      </c>
      <c r="N314" s="722">
        <f t="shared" ref="N314" si="500">IF(N4="費用",0,SUM(N279:N313))</f>
        <v>0</v>
      </c>
    </row>
    <row r="315" spans="1:14" ht="13.5" customHeight="1">
      <c r="A315" s="538"/>
      <c r="B315" s="605"/>
      <c r="C315" s="723">
        <v>12505958</v>
      </c>
      <c r="D315" s="724" t="str">
        <f>+F78</f>
        <v>看板・広告機器-(主として金属製)</v>
      </c>
      <c r="E315" s="724"/>
      <c r="F315" s="607"/>
      <c r="G315" s="610">
        <f ca="1">SUM(H315:N315)</f>
        <v>1362000</v>
      </c>
      <c r="H315" s="707">
        <f ca="1">IF(H78="","",ROUND((H78+H78/(H$5-H$6)*H$6+H78/(H$5-H$6)*H$15)*$D$4,-3))</f>
        <v>652000</v>
      </c>
      <c r="I315" s="707">
        <f t="shared" ref="I315" ca="1" si="501">IF(I78="","",ROUND((I78+I78/(I$5-I$6)*I$6+I78/(I$5-I$6)*I$15)*$D$4,-3))</f>
        <v>0</v>
      </c>
      <c r="J315" s="707">
        <f t="shared" ref="J315:N315" ca="1" si="502">IF(J78="","",ROUND((J78+J78/(J$5-J$6)*J$6+J78/(J$5-J$6)*J$15)*$D$4,-3))</f>
        <v>0</v>
      </c>
      <c r="K315" s="707">
        <f t="shared" ca="1" si="502"/>
        <v>710000</v>
      </c>
      <c r="L315" s="707">
        <f t="shared" ca="1" si="502"/>
        <v>0</v>
      </c>
      <c r="M315" s="707">
        <f t="shared" ca="1" si="502"/>
        <v>0</v>
      </c>
      <c r="N315" s="707">
        <f t="shared" ca="1" si="502"/>
        <v>0</v>
      </c>
    </row>
    <row r="316" spans="1:14" ht="13.5" customHeight="1">
      <c r="A316" s="538"/>
      <c r="B316" s="605"/>
      <c r="C316" s="725">
        <v>12505959</v>
      </c>
      <c r="D316" s="726" t="str">
        <f>+F84</f>
        <v>看板・広告機器-その他のもの</v>
      </c>
      <c r="E316" s="726"/>
      <c r="F316" s="612"/>
      <c r="G316" s="615">
        <f ca="1">SUM(H316:N316)</f>
        <v>685000</v>
      </c>
      <c r="H316" s="707">
        <f ca="1">IF(H84="","",ROUND((H84+H84/(H$5-H$6)*H$6+H84/(H$5-H$6)*H$15)*$D$4,-3))</f>
        <v>685000</v>
      </c>
      <c r="I316" s="707">
        <f t="shared" ref="I316" ca="1" si="503">IF(I84="","",ROUND((I84+I84/(I$5-I$6)*I$6+I84/(I$5-I$6)*I$15)*$D$4,-3))</f>
        <v>0</v>
      </c>
      <c r="J316" s="707">
        <f t="shared" ref="J316:N316" ca="1" si="504">IF(J84="","",ROUND((J84+J84/(J$5-J$6)*J$6+J84/(J$5-J$6)*J$15)*$D$4,-3))</f>
        <v>0</v>
      </c>
      <c r="K316" s="707">
        <f ca="1">IF(K84="","",ROUND((K84+K84/(K$5-K$6)*K$6+K84/(K$5-K$6)*K$15)*$D$4,-3))+K330</f>
        <v>0</v>
      </c>
      <c r="L316" s="707">
        <f t="shared" ca="1" si="504"/>
        <v>0</v>
      </c>
      <c r="M316" s="707">
        <f t="shared" ca="1" si="504"/>
        <v>0</v>
      </c>
      <c r="N316" s="707">
        <f t="shared" ca="1" si="504"/>
        <v>0</v>
      </c>
    </row>
    <row r="317" spans="1:14" ht="13.5" hidden="1" customHeight="1">
      <c r="A317" s="538"/>
      <c r="B317" s="605"/>
      <c r="C317" s="727">
        <v>12505988</v>
      </c>
      <c r="D317" s="726" t="s">
        <v>507</v>
      </c>
      <c r="E317" s="726"/>
      <c r="F317" s="612"/>
      <c r="G317" s="615">
        <f t="shared" ref="G317" ca="1" si="505">SUM(K317:M317)</f>
        <v>0</v>
      </c>
      <c r="H317" s="620">
        <f ca="1">IF(H87="","",ROUND((H87+H87/(H$5-H$6)*H$6+H87/(H$5-H$6)*H$15)*$D$4,-3))</f>
        <v>0</v>
      </c>
      <c r="I317" s="620"/>
      <c r="J317" s="620">
        <f t="shared" ref="J317:M319" ca="1" si="506">IF(J87="","",ROUND((J87+J87/(J$5-J$6)*J$6+J87/(J$5-J$6)*J$15)*$D$4,-3))</f>
        <v>0</v>
      </c>
      <c r="K317" s="620">
        <f t="shared" ca="1" si="506"/>
        <v>0</v>
      </c>
      <c r="L317" s="620">
        <f t="shared" ca="1" si="506"/>
        <v>0</v>
      </c>
      <c r="M317" s="620">
        <f t="shared" ca="1" si="506"/>
        <v>0</v>
      </c>
      <c r="N317" s="620">
        <f t="shared" ref="N317" ca="1" si="507">IF(N87="","",ROUND((N87+N87/(N$5-N$6)*N$6+N87/(N$5-N$6)*N$15)*$D$4,-3))</f>
        <v>0</v>
      </c>
    </row>
    <row r="318" spans="1:14" ht="13.5" hidden="1" customHeight="1">
      <c r="A318" s="538"/>
      <c r="B318" s="605"/>
      <c r="C318" s="727">
        <v>12505990</v>
      </c>
      <c r="D318" s="726" t="s">
        <v>509</v>
      </c>
      <c r="E318" s="726"/>
      <c r="F318" s="612"/>
      <c r="G318" s="615">
        <f t="shared" ref="G318:G319" ca="1" si="508">SUM(H318:M318)</f>
        <v>0</v>
      </c>
      <c r="H318" s="620">
        <f ca="1">IF(H88="","",ROUND((H88+H88/(H$5-H$6)*H$6+H88/(H$5-H$6)*H$15)*$D$4,-3))</f>
        <v>0</v>
      </c>
      <c r="I318" s="620"/>
      <c r="J318" s="620">
        <f t="shared" ca="1" si="506"/>
        <v>0</v>
      </c>
      <c r="K318" s="620">
        <f t="shared" ca="1" si="506"/>
        <v>0</v>
      </c>
      <c r="L318" s="620">
        <f t="shared" ca="1" si="506"/>
        <v>0</v>
      </c>
      <c r="M318" s="620">
        <f t="shared" ca="1" si="506"/>
        <v>0</v>
      </c>
      <c r="N318" s="620">
        <f t="shared" ref="N318" ca="1" si="509">IF(N88="","",ROUND((N88+N88/(N$5-N$6)*N$6+N88/(N$5-N$6)*N$15)*$D$4,-3))</f>
        <v>0</v>
      </c>
    </row>
    <row r="319" spans="1:14" ht="13.5" hidden="1" customHeight="1">
      <c r="A319" s="538"/>
      <c r="B319" s="605"/>
      <c r="C319" s="727">
        <v>12505991</v>
      </c>
      <c r="D319" s="726" t="s">
        <v>511</v>
      </c>
      <c r="E319" s="726"/>
      <c r="F319" s="612"/>
      <c r="G319" s="615">
        <f t="shared" ca="1" si="508"/>
        <v>0</v>
      </c>
      <c r="H319" s="620">
        <f ca="1">IF(H89="","",ROUND((H89+H89/(H$5-H$6)*H$6+H89/(H$5-H$6)*H$15)*$D$4,-3))</f>
        <v>0</v>
      </c>
      <c r="I319" s="620"/>
      <c r="J319" s="620">
        <f t="shared" ca="1" si="506"/>
        <v>0</v>
      </c>
      <c r="K319" s="620">
        <f t="shared" ca="1" si="506"/>
        <v>0</v>
      </c>
      <c r="L319" s="620">
        <f t="shared" ca="1" si="506"/>
        <v>0</v>
      </c>
      <c r="M319" s="620">
        <f t="shared" ca="1" si="506"/>
        <v>0</v>
      </c>
      <c r="N319" s="620">
        <f t="shared" ref="N319" ca="1" si="510">IF(N89="","",ROUND((N89+N89/(N$5-N$6)*N$6+N89/(N$5-N$6)*N$15)*$D$4,-3))</f>
        <v>0</v>
      </c>
    </row>
    <row r="320" spans="1:14" ht="13.5" customHeight="1">
      <c r="A320" s="538"/>
      <c r="B320" s="605"/>
      <c r="C320" s="708"/>
      <c r="D320" s="709"/>
      <c r="E320" s="710"/>
      <c r="F320" s="623"/>
      <c r="G320" s="711">
        <f>SUM(H320:N320)</f>
        <v>0</v>
      </c>
      <c r="H320" s="714" t="str">
        <f t="shared" ref="H320:M320" si="511">IF(H90="","",ROUND(H90+H90/(H$5-H$6)*H$6+H90/(H$5-H$6)*H$15,-3))</f>
        <v/>
      </c>
      <c r="I320" s="714" t="str">
        <f t="shared" si="511"/>
        <v/>
      </c>
      <c r="J320" s="714" t="str">
        <f t="shared" si="511"/>
        <v/>
      </c>
      <c r="K320" s="714" t="str">
        <f t="shared" si="511"/>
        <v/>
      </c>
      <c r="L320" s="714" t="str">
        <f t="shared" si="511"/>
        <v/>
      </c>
      <c r="M320" s="714" t="str">
        <f t="shared" si="511"/>
        <v/>
      </c>
      <c r="N320" s="714" t="str">
        <f t="shared" ref="N320" si="512">IF(N90="","",ROUND(N90+N90/(N$5-N$6)*N$6+N90/(N$5-N$6)*N$15,-3))</f>
        <v/>
      </c>
    </row>
    <row r="321" spans="1:14" s="720" customFormat="1" ht="13.5" customHeight="1" thickBot="1">
      <c r="A321" s="728"/>
      <c r="B321" s="729"/>
      <c r="C321" s="729"/>
      <c r="D321" s="729"/>
      <c r="E321" s="729"/>
      <c r="F321" s="730" t="s">
        <v>2486</v>
      </c>
      <c r="G321" s="731">
        <f ca="1">SUM(H321:N321)</f>
        <v>2047000</v>
      </c>
      <c r="H321" s="732">
        <f t="shared" ref="H321:M321" ca="1" si="513">IF(H$4="費用",0,SUM(H315:H319))</f>
        <v>1337000</v>
      </c>
      <c r="I321" s="732">
        <f t="shared" ca="1" si="513"/>
        <v>0</v>
      </c>
      <c r="J321" s="732">
        <f t="shared" ca="1" si="513"/>
        <v>0</v>
      </c>
      <c r="K321" s="732">
        <f t="shared" ca="1" si="513"/>
        <v>710000</v>
      </c>
      <c r="L321" s="732">
        <f t="shared" ca="1" si="513"/>
        <v>0</v>
      </c>
      <c r="M321" s="732">
        <f t="shared" ca="1" si="513"/>
        <v>0</v>
      </c>
      <c r="N321" s="732">
        <f t="shared" ref="N321" ca="1" si="514">IF(N$4="費用",0,SUM(N315:N319))</f>
        <v>0</v>
      </c>
    </row>
    <row r="322" spans="1:14" ht="13.5" customHeight="1" thickTop="1">
      <c r="A322" s="538"/>
      <c r="B322" s="605"/>
      <c r="C322" s="726" t="s">
        <v>727</v>
      </c>
      <c r="D322" s="723" t="s">
        <v>2487</v>
      </c>
      <c r="E322" s="723"/>
      <c r="F322" s="733"/>
      <c r="G322" s="615">
        <f ca="1">SUM(H322:N322)</f>
        <v>428000</v>
      </c>
      <c r="H322" s="707">
        <f ca="1">IF(H10="","",ROUND((H10+H10/(H$5-H$6)*H$6+H10/(H$5-H$6)*H$15)*$D$4,-3))</f>
        <v>425000</v>
      </c>
      <c r="I322" s="707">
        <f t="shared" ref="I322" ca="1" si="515">IF(I10="","",ROUND((I10+I10/(I$5-I$6)*I$6+I10/(I$5-I$6)*I$15)*$D$4,-3))</f>
        <v>0</v>
      </c>
      <c r="J322" s="707">
        <f t="shared" ref="J322:N322" ca="1" si="516">IF(J10="","",ROUND((J10+J10/(J$5-J$6)*J$6+J10/(J$5-J$6)*J$15)*$D$4,-3))</f>
        <v>3000</v>
      </c>
      <c r="K322" s="707">
        <f t="shared" ca="1" si="516"/>
        <v>0</v>
      </c>
      <c r="L322" s="707">
        <f t="shared" ca="1" si="516"/>
        <v>0</v>
      </c>
      <c r="M322" s="707">
        <f t="shared" ca="1" si="516"/>
        <v>0</v>
      </c>
      <c r="N322" s="707">
        <f t="shared" ca="1" si="516"/>
        <v>0</v>
      </c>
    </row>
    <row r="323" spans="1:14" ht="13.5" customHeight="1">
      <c r="A323" s="538"/>
      <c r="B323" s="605"/>
      <c r="C323" s="726" t="s">
        <v>726</v>
      </c>
      <c r="D323" s="723" t="s">
        <v>2488</v>
      </c>
      <c r="E323" s="726"/>
      <c r="F323" s="617"/>
      <c r="G323" s="615">
        <f ca="1">SUM(H323:N323)</f>
        <v>819000</v>
      </c>
      <c r="H323" s="707">
        <f ca="1">IF(H4="費用",0,IF(H13="","",ROUND((H13+H13/(H$5-H$6)*H$6+H13/(H$5-H$6)*H$15)*$D$4,-3)))</f>
        <v>0</v>
      </c>
      <c r="I323" s="707">
        <f t="shared" ref="I323" ca="1" si="517">IF(I4="費用",0,IF(I13="","",ROUND((I13+I13/(I$5-I$6)*I$6+I13/(I$5-I$6)*I$15)*$D$4,-3)))</f>
        <v>0</v>
      </c>
      <c r="J323" s="707">
        <f t="shared" ref="J323:N323" ca="1" si="518">IF(J4="費用",0,IF(J13="","",ROUND((J13+J13/(J$5-J$6)*J$6+J13/(J$5-J$6)*J$15)*$D$4,-3)))</f>
        <v>0</v>
      </c>
      <c r="K323" s="707">
        <f t="shared" ca="1" si="518"/>
        <v>609000</v>
      </c>
      <c r="L323" s="707">
        <f t="shared" ca="1" si="518"/>
        <v>210000</v>
      </c>
      <c r="M323" s="707">
        <f ca="1">IF(M4="費用",0,IF(M13="","",ROUND((M13+M13/(M$5-M$6)*M$6+M13/(M$5-M$6)*M$15)*$D$4,-3)))+M330</f>
        <v>0</v>
      </c>
      <c r="N323" s="707">
        <f t="shared" ca="1" si="518"/>
        <v>0</v>
      </c>
    </row>
    <row r="324" spans="1:14" s="720" customFormat="1" ht="13.5" customHeight="1" thickBot="1">
      <c r="A324" s="734"/>
      <c r="B324" s="735"/>
      <c r="C324" s="735"/>
      <c r="D324" s="735"/>
      <c r="E324" s="735"/>
      <c r="F324" s="736" t="s">
        <v>728</v>
      </c>
      <c r="G324" s="737">
        <f ca="1">SUM(H324:N324)</f>
        <v>1247000</v>
      </c>
      <c r="H324" s="823">
        <f t="shared" ref="H324:M324" ca="1" si="519">SUM(H322:H323)</f>
        <v>425000</v>
      </c>
      <c r="I324" s="823">
        <f t="shared" ca="1" si="519"/>
        <v>0</v>
      </c>
      <c r="J324" s="823">
        <f t="shared" ca="1" si="519"/>
        <v>3000</v>
      </c>
      <c r="K324" s="823">
        <f t="shared" ca="1" si="519"/>
        <v>609000</v>
      </c>
      <c r="L324" s="823">
        <f t="shared" ca="1" si="519"/>
        <v>210000</v>
      </c>
      <c r="M324" s="823">
        <f t="shared" ca="1" si="519"/>
        <v>0</v>
      </c>
      <c r="N324" s="823">
        <f t="shared" ref="N324" ca="1" si="520">SUM(N322:N323)</f>
        <v>0</v>
      </c>
    </row>
    <row r="325" spans="1:14" ht="13.5" customHeight="1" thickTop="1">
      <c r="A325" s="538"/>
      <c r="B325" s="605"/>
      <c r="C325" s="726" t="s">
        <v>726</v>
      </c>
      <c r="D325" s="2719" t="s">
        <v>2489</v>
      </c>
      <c r="E325" s="2719"/>
      <c r="F325" s="2720"/>
      <c r="G325" s="615">
        <f t="shared" ref="G325:G327" ca="1" si="521">SUM(H325:M325)</f>
        <v>0</v>
      </c>
      <c r="H325" s="707">
        <f ca="1">IF(H4="費用",0,IF(H12="","",ROUND((H14+H14/(H$5-H$6)*H$6+H14/(H$5-H$6)*H$15)*$D$4,-3)))</f>
        <v>0</v>
      </c>
      <c r="I325" s="707">
        <f t="shared" ref="I325" ca="1" si="522">IF(I4="費用",0,IF(I12="","",ROUND((I14+I14/(I$5-I$6)*I$6+I14/(I$5-I$6)*I$15)*$D$4,-3)))</f>
        <v>0</v>
      </c>
      <c r="J325" s="707">
        <f t="shared" ref="J325:N325" ca="1" si="523">IF(J4="費用",0,IF(J12="","",ROUND((J14+J14/(J$5-J$6)*J$6+J14/(J$5-J$6)*J$15)*$D$4,-3)))</f>
        <v>0</v>
      </c>
      <c r="K325" s="707">
        <f t="shared" ca="1" si="523"/>
        <v>0</v>
      </c>
      <c r="L325" s="707">
        <f t="shared" ca="1" si="523"/>
        <v>0</v>
      </c>
      <c r="M325" s="707">
        <f t="shared" ca="1" si="523"/>
        <v>0</v>
      </c>
      <c r="N325" s="707">
        <f t="shared" ca="1" si="523"/>
        <v>0</v>
      </c>
    </row>
    <row r="326" spans="1:14" ht="13.5" customHeight="1">
      <c r="A326" s="538"/>
      <c r="B326" s="605"/>
      <c r="C326" s="726" t="s">
        <v>726</v>
      </c>
      <c r="D326" s="726" t="s">
        <v>2490</v>
      </c>
      <c r="E326" s="726"/>
      <c r="F326" s="617"/>
      <c r="G326" s="615">
        <f t="shared" si="521"/>
        <v>0</v>
      </c>
      <c r="H326" s="620">
        <f t="shared" ref="H326:M326" si="524">IF(H$4="費用",IF(H19&gt;0,ROUNDDOWN(H19*$D$4,-3),ROUNDUP(H19*$D$4,-3)),0)</f>
        <v>0</v>
      </c>
      <c r="I326" s="620">
        <f t="shared" ref="I326" si="525">IF(I$4="費用",IF(I19&gt;0,ROUNDDOWN(I19*$D$4,-3),ROUNDUP(I19*$D$4,-3)),0)</f>
        <v>0</v>
      </c>
      <c r="J326" s="620">
        <f t="shared" si="524"/>
        <v>0</v>
      </c>
      <c r="K326" s="620">
        <f t="shared" si="524"/>
        <v>0</v>
      </c>
      <c r="L326" s="620">
        <f t="shared" si="524"/>
        <v>0</v>
      </c>
      <c r="M326" s="620">
        <f t="shared" si="524"/>
        <v>0</v>
      </c>
      <c r="N326" s="620">
        <f t="shared" ref="N326" si="526">IF(N$4="費用",IF(N19&gt;0,ROUNDDOWN(N19*$D$4,-3),ROUNDUP(N19*$D$4,-3)),0)</f>
        <v>0</v>
      </c>
    </row>
    <row r="327" spans="1:14" s="720" customFormat="1" ht="13.5" customHeight="1" thickBot="1">
      <c r="A327" s="738"/>
      <c r="B327" s="739"/>
      <c r="C327" s="739"/>
      <c r="D327" s="739"/>
      <c r="E327" s="739"/>
      <c r="F327" s="740" t="s">
        <v>729</v>
      </c>
      <c r="G327" s="741">
        <f t="shared" ca="1" si="521"/>
        <v>0</v>
      </c>
      <c r="H327" s="742">
        <f t="shared" ref="H327:M327" ca="1" si="527">SUM(H325:H326)</f>
        <v>0</v>
      </c>
      <c r="I327" s="742">
        <f t="shared" ca="1" si="527"/>
        <v>0</v>
      </c>
      <c r="J327" s="742">
        <f t="shared" ca="1" si="527"/>
        <v>0</v>
      </c>
      <c r="K327" s="742">
        <f t="shared" ca="1" si="527"/>
        <v>0</v>
      </c>
      <c r="L327" s="742">
        <f t="shared" ca="1" si="527"/>
        <v>0</v>
      </c>
      <c r="M327" s="742">
        <f t="shared" ca="1" si="527"/>
        <v>0</v>
      </c>
      <c r="N327" s="742">
        <f t="shared" ref="N327" ca="1" si="528">SUM(N325:N326)</f>
        <v>0</v>
      </c>
    </row>
    <row r="328" spans="1:14" ht="13.5" customHeight="1" thickTop="1">
      <c r="A328" s="743"/>
      <c r="B328" s="744"/>
      <c r="C328" s="744"/>
      <c r="D328" s="744"/>
      <c r="E328" s="744"/>
      <c r="F328" s="745" t="s">
        <v>730</v>
      </c>
      <c r="G328" s="746">
        <f ca="1">SUM(H328:N328)</f>
        <v>19660000</v>
      </c>
      <c r="H328" s="747">
        <f ca="1">H278+H314+H321+H324+H327</f>
        <v>1701000</v>
      </c>
      <c r="I328" s="747">
        <f ca="1">I278+I314+I321+I324+I327</f>
        <v>6035000</v>
      </c>
      <c r="J328" s="747">
        <f t="shared" ref="J328:N328" ca="1" si="529">J278+J314+J321+J324+J327</f>
        <v>66000</v>
      </c>
      <c r="K328" s="747">
        <f t="shared" ca="1" si="529"/>
        <v>2249000</v>
      </c>
      <c r="L328" s="747">
        <f t="shared" ca="1" si="529"/>
        <v>6696000</v>
      </c>
      <c r="M328" s="747">
        <f t="shared" ca="1" si="529"/>
        <v>1432000</v>
      </c>
      <c r="N328" s="747">
        <f t="shared" ca="1" si="529"/>
        <v>1481000</v>
      </c>
    </row>
    <row r="329" spans="1:14" ht="13.5" customHeight="1">
      <c r="A329" s="748"/>
      <c r="B329" s="749"/>
      <c r="C329" s="749"/>
      <c r="D329" s="749"/>
      <c r="E329" s="749"/>
      <c r="F329" s="658"/>
      <c r="G329" s="750" t="str">
        <f ca="1">IF(G$23=G328,"","工事価格が一致ません。↑")</f>
        <v/>
      </c>
      <c r="H329" s="751" t="str">
        <f ca="1">IF(H$23=H328,"","↑error")</f>
        <v/>
      </c>
      <c r="I329" s="751"/>
      <c r="J329" s="751" t="str">
        <f t="shared" ref="J329:N329" ca="1" si="530">IF(J$23=J328,"","↑error")</f>
        <v/>
      </c>
      <c r="K329" s="751" t="str">
        <f t="shared" ca="1" si="530"/>
        <v/>
      </c>
      <c r="L329" s="751" t="str">
        <f t="shared" ca="1" si="530"/>
        <v/>
      </c>
      <c r="M329" s="751" t="str">
        <f t="shared" ca="1" si="530"/>
        <v/>
      </c>
      <c r="N329" s="751" t="str">
        <f t="shared" ca="1" si="530"/>
        <v/>
      </c>
    </row>
    <row r="330" spans="1:14" ht="13.5" customHeight="1">
      <c r="L330" s="752">
        <v>-1000</v>
      </c>
      <c r="N330" s="752">
        <v>-1000</v>
      </c>
    </row>
  </sheetData>
  <sheetProtection selectLockedCells="1" selectUnlockedCells="1"/>
  <mergeCells count="10">
    <mergeCell ref="F94:K94"/>
    <mergeCell ref="D325:F325"/>
    <mergeCell ref="E76:E77"/>
    <mergeCell ref="B77:D77"/>
    <mergeCell ref="E9:E11"/>
    <mergeCell ref="E12:E14"/>
    <mergeCell ref="E25:E26"/>
    <mergeCell ref="B26:D26"/>
    <mergeCell ref="E54:E55"/>
    <mergeCell ref="B55:D55"/>
  </mergeCells>
  <phoneticPr fontId="2"/>
  <conditionalFormatting sqref="G76:G77 G24:G26 K24">
    <cfRule type="expression" dxfId="19" priority="32" stopIfTrue="1">
      <formula>AND($G$53&gt;5000000,OR($F$18="無し",$F$18="なし"))</formula>
    </cfRule>
  </conditionalFormatting>
  <conditionalFormatting sqref="G54">
    <cfRule type="expression" dxfId="18" priority="31" stopIfTrue="1">
      <formula>AND($G$53&gt;5000000,OR($F$18="無し",$F$18="なし"))</formula>
    </cfRule>
  </conditionalFormatting>
  <conditionalFormatting sqref="G55">
    <cfRule type="expression" dxfId="17" priority="30" stopIfTrue="1">
      <formula>AND($G$53&gt;5000000,OR($F$18="無し",$F$18="なし"))</formula>
    </cfRule>
  </conditionalFormatting>
  <conditionalFormatting sqref="G60">
    <cfRule type="expression" dxfId="16" priority="29" stopIfTrue="1">
      <formula>AND($G$53&gt;5000000,OR($F$18="無し",$F$18="なし"))</formula>
    </cfRule>
  </conditionalFormatting>
  <conditionalFormatting sqref="L24">
    <cfRule type="expression" dxfId="15" priority="15" stopIfTrue="1">
      <formula>AND($G$53&gt;5000000,OR($F$18="無し",$F$18="なし"))</formula>
    </cfRule>
  </conditionalFormatting>
  <conditionalFormatting sqref="H24">
    <cfRule type="expression" dxfId="14" priority="14" stopIfTrue="1">
      <formula>AND($G$53&gt;5000000,OR($F$18="無し",$F$18="なし"))</formula>
    </cfRule>
  </conditionalFormatting>
  <conditionalFormatting sqref="J24">
    <cfRule type="expression" dxfId="13" priority="12" stopIfTrue="1">
      <formula>AND($G$53&gt;5000000,OR($F$18="無し",$F$18="なし"))</formula>
    </cfRule>
  </conditionalFormatting>
  <conditionalFormatting sqref="M24">
    <cfRule type="expression" dxfId="12" priority="10" stopIfTrue="1">
      <formula>AND($G$53&gt;5000000,OR($F$18="無し",$F$18="なし"))</formula>
    </cfRule>
  </conditionalFormatting>
  <conditionalFormatting sqref="I24">
    <cfRule type="expression" dxfId="11" priority="9" stopIfTrue="1">
      <formula>AND($G$53&gt;5000000,OR($F$18="無し",$F$18="なし"))</formula>
    </cfRule>
  </conditionalFormatting>
  <conditionalFormatting sqref="N24">
    <cfRule type="expression" dxfId="10" priority="8" stopIfTrue="1">
      <formula>AND($G$53&gt;5000000,OR($F$18="無し",$F$18="なし"))</formula>
    </cfRule>
  </conditionalFormatting>
  <dataValidations count="8">
    <dataValidation type="list" allowBlank="1" showInputMessage="1" showErrorMessage="1" sqref="H4:N4" xr:uid="{00000000-0002-0000-0200-000000000000}">
      <formula1>"資産,費用"</formula1>
    </dataValidation>
    <dataValidation type="list" allowBlank="1" showInputMessage="1" showErrorMessage="1" sqref="WUP980941:WUW980941 ID16:IK16 RZ16:SG16 ABV16:ACC16 ALR16:ALY16 AVN16:AVU16 BFJ16:BFQ16 BPF16:BPM16 BZB16:BZI16 CIX16:CJE16 CST16:CTA16 DCP16:DCW16 DML16:DMS16 DWH16:DWO16 EGD16:EGK16 EPZ16:EQG16 EZV16:FAC16 FJR16:FJY16 FTN16:FTU16 GDJ16:GDQ16 GNF16:GNM16 GXB16:GXI16 HGX16:HHE16 HQT16:HRA16 IAP16:IAW16 IKL16:IKS16 IUH16:IUO16 JED16:JEK16 JNZ16:JOG16 JXV16:JYC16 KHR16:KHY16 KRN16:KRU16 LBJ16:LBQ16 LLF16:LLM16 LVB16:LVI16 MEX16:MFE16 MOT16:MPA16 MYP16:MYW16 NIL16:NIS16 NSH16:NSO16 OCD16:OCK16 OLZ16:OMG16 OVV16:OWC16 PFR16:PFY16 PPN16:PPU16 PZJ16:PZQ16 QJF16:QJM16 QTB16:QTI16 RCX16:RDE16 RMT16:RNA16 RWP16:RWW16 SGL16:SGS16 SQH16:SQO16 TAD16:TAK16 TJZ16:TKG16 TTV16:TUC16 UDR16:UDY16 UNN16:UNU16 UXJ16:UXQ16 VHF16:VHM16 VRB16:VRI16 WAX16:WBE16 WKT16:WLA16 WUP16:WUW16 RCX980941:RDE980941 ID63437:IK63437 RZ63437:SG63437 ABV63437:ACC63437 ALR63437:ALY63437 AVN63437:AVU63437 BFJ63437:BFQ63437 BPF63437:BPM63437 BZB63437:BZI63437 CIX63437:CJE63437 CST63437:CTA63437 DCP63437:DCW63437 DML63437:DMS63437 DWH63437:DWO63437 EGD63437:EGK63437 EPZ63437:EQG63437 EZV63437:FAC63437 FJR63437:FJY63437 FTN63437:FTU63437 GDJ63437:GDQ63437 GNF63437:GNM63437 GXB63437:GXI63437 HGX63437:HHE63437 HQT63437:HRA63437 IAP63437:IAW63437 IKL63437:IKS63437 IUH63437:IUO63437 JED63437:JEK63437 JNZ63437:JOG63437 JXV63437:JYC63437 KHR63437:KHY63437 KRN63437:KRU63437 LBJ63437:LBQ63437 LLF63437:LLM63437 LVB63437:LVI63437 MEX63437:MFE63437 MOT63437:MPA63437 MYP63437:MYW63437 NIL63437:NIS63437 NSH63437:NSO63437 OCD63437:OCK63437 OLZ63437:OMG63437 OVV63437:OWC63437 PFR63437:PFY63437 PPN63437:PPU63437 PZJ63437:PZQ63437 QJF63437:QJM63437 QTB63437:QTI63437 RCX63437:RDE63437 RMT63437:RNA63437 RWP63437:RWW63437 SGL63437:SGS63437 SQH63437:SQO63437 TAD63437:TAK63437 TJZ63437:TKG63437 TTV63437:TUC63437 UDR63437:UDY63437 UNN63437:UNU63437 UXJ63437:UXQ63437 VHF63437:VHM63437 VRB63437:VRI63437 WAX63437:WBE63437 WKT63437:WLA63437 WUP63437:WUW63437 RMT980941:RNA980941 ID128973:IK128973 RZ128973:SG128973 ABV128973:ACC128973 ALR128973:ALY128973 AVN128973:AVU128973 BFJ128973:BFQ128973 BPF128973:BPM128973 BZB128973:BZI128973 CIX128973:CJE128973 CST128973:CTA128973 DCP128973:DCW128973 DML128973:DMS128973 DWH128973:DWO128973 EGD128973:EGK128973 EPZ128973:EQG128973 EZV128973:FAC128973 FJR128973:FJY128973 FTN128973:FTU128973 GDJ128973:GDQ128973 GNF128973:GNM128973 GXB128973:GXI128973 HGX128973:HHE128973 HQT128973:HRA128973 IAP128973:IAW128973 IKL128973:IKS128973 IUH128973:IUO128973 JED128973:JEK128973 JNZ128973:JOG128973 JXV128973:JYC128973 KHR128973:KHY128973 KRN128973:KRU128973 LBJ128973:LBQ128973 LLF128973:LLM128973 LVB128973:LVI128973 MEX128973:MFE128973 MOT128973:MPA128973 MYP128973:MYW128973 NIL128973:NIS128973 NSH128973:NSO128973 OCD128973:OCK128973 OLZ128973:OMG128973 OVV128973:OWC128973 PFR128973:PFY128973 PPN128973:PPU128973 PZJ128973:PZQ128973 QJF128973:QJM128973 QTB128973:QTI128973 RCX128973:RDE128973 RMT128973:RNA128973 RWP128973:RWW128973 SGL128973:SGS128973 SQH128973:SQO128973 TAD128973:TAK128973 TJZ128973:TKG128973 TTV128973:TUC128973 UDR128973:UDY128973 UNN128973:UNU128973 UXJ128973:UXQ128973 VHF128973:VHM128973 VRB128973:VRI128973 WAX128973:WBE128973 WKT128973:WLA128973 WUP128973:WUW128973 RWP980941:RWW980941 ID194509:IK194509 RZ194509:SG194509 ABV194509:ACC194509 ALR194509:ALY194509 AVN194509:AVU194509 BFJ194509:BFQ194509 BPF194509:BPM194509 BZB194509:BZI194509 CIX194509:CJE194509 CST194509:CTA194509 DCP194509:DCW194509 DML194509:DMS194509 DWH194509:DWO194509 EGD194509:EGK194509 EPZ194509:EQG194509 EZV194509:FAC194509 FJR194509:FJY194509 FTN194509:FTU194509 GDJ194509:GDQ194509 GNF194509:GNM194509 GXB194509:GXI194509 HGX194509:HHE194509 HQT194509:HRA194509 IAP194509:IAW194509 IKL194509:IKS194509 IUH194509:IUO194509 JED194509:JEK194509 JNZ194509:JOG194509 JXV194509:JYC194509 KHR194509:KHY194509 KRN194509:KRU194509 LBJ194509:LBQ194509 LLF194509:LLM194509 LVB194509:LVI194509 MEX194509:MFE194509 MOT194509:MPA194509 MYP194509:MYW194509 NIL194509:NIS194509 NSH194509:NSO194509 OCD194509:OCK194509 OLZ194509:OMG194509 OVV194509:OWC194509 PFR194509:PFY194509 PPN194509:PPU194509 PZJ194509:PZQ194509 QJF194509:QJM194509 QTB194509:QTI194509 RCX194509:RDE194509 RMT194509:RNA194509 RWP194509:RWW194509 SGL194509:SGS194509 SQH194509:SQO194509 TAD194509:TAK194509 TJZ194509:TKG194509 TTV194509:TUC194509 UDR194509:UDY194509 UNN194509:UNU194509 UXJ194509:UXQ194509 VHF194509:VHM194509 VRB194509:VRI194509 WAX194509:WBE194509 WKT194509:WLA194509 WUP194509:WUW194509 SGL980941:SGS980941 ID260045:IK260045 RZ260045:SG260045 ABV260045:ACC260045 ALR260045:ALY260045 AVN260045:AVU260045 BFJ260045:BFQ260045 BPF260045:BPM260045 BZB260045:BZI260045 CIX260045:CJE260045 CST260045:CTA260045 DCP260045:DCW260045 DML260045:DMS260045 DWH260045:DWO260045 EGD260045:EGK260045 EPZ260045:EQG260045 EZV260045:FAC260045 FJR260045:FJY260045 FTN260045:FTU260045 GDJ260045:GDQ260045 GNF260045:GNM260045 GXB260045:GXI260045 HGX260045:HHE260045 HQT260045:HRA260045 IAP260045:IAW260045 IKL260045:IKS260045 IUH260045:IUO260045 JED260045:JEK260045 JNZ260045:JOG260045 JXV260045:JYC260045 KHR260045:KHY260045 KRN260045:KRU260045 LBJ260045:LBQ260045 LLF260045:LLM260045 LVB260045:LVI260045 MEX260045:MFE260045 MOT260045:MPA260045 MYP260045:MYW260045 NIL260045:NIS260045 NSH260045:NSO260045 OCD260045:OCK260045 OLZ260045:OMG260045 OVV260045:OWC260045 PFR260045:PFY260045 PPN260045:PPU260045 PZJ260045:PZQ260045 QJF260045:QJM260045 QTB260045:QTI260045 RCX260045:RDE260045 RMT260045:RNA260045 RWP260045:RWW260045 SGL260045:SGS260045 SQH260045:SQO260045 TAD260045:TAK260045 TJZ260045:TKG260045 TTV260045:TUC260045 UDR260045:UDY260045 UNN260045:UNU260045 UXJ260045:UXQ260045 VHF260045:VHM260045 VRB260045:VRI260045 WAX260045:WBE260045 WKT260045:WLA260045 WUP260045:WUW260045 SQH980941:SQO980941 ID325581:IK325581 RZ325581:SG325581 ABV325581:ACC325581 ALR325581:ALY325581 AVN325581:AVU325581 BFJ325581:BFQ325581 BPF325581:BPM325581 BZB325581:BZI325581 CIX325581:CJE325581 CST325581:CTA325581 DCP325581:DCW325581 DML325581:DMS325581 DWH325581:DWO325581 EGD325581:EGK325581 EPZ325581:EQG325581 EZV325581:FAC325581 FJR325581:FJY325581 FTN325581:FTU325581 GDJ325581:GDQ325581 GNF325581:GNM325581 GXB325581:GXI325581 HGX325581:HHE325581 HQT325581:HRA325581 IAP325581:IAW325581 IKL325581:IKS325581 IUH325581:IUO325581 JED325581:JEK325581 JNZ325581:JOG325581 JXV325581:JYC325581 KHR325581:KHY325581 KRN325581:KRU325581 LBJ325581:LBQ325581 LLF325581:LLM325581 LVB325581:LVI325581 MEX325581:MFE325581 MOT325581:MPA325581 MYP325581:MYW325581 NIL325581:NIS325581 NSH325581:NSO325581 OCD325581:OCK325581 OLZ325581:OMG325581 OVV325581:OWC325581 PFR325581:PFY325581 PPN325581:PPU325581 PZJ325581:PZQ325581 QJF325581:QJM325581 QTB325581:QTI325581 RCX325581:RDE325581 RMT325581:RNA325581 RWP325581:RWW325581 SGL325581:SGS325581 SQH325581:SQO325581 TAD325581:TAK325581 TJZ325581:TKG325581 TTV325581:TUC325581 UDR325581:UDY325581 UNN325581:UNU325581 UXJ325581:UXQ325581 VHF325581:VHM325581 VRB325581:VRI325581 WAX325581:WBE325581 WKT325581:WLA325581 WUP325581:WUW325581 TAD980941:TAK980941 ID391117:IK391117 RZ391117:SG391117 ABV391117:ACC391117 ALR391117:ALY391117 AVN391117:AVU391117 BFJ391117:BFQ391117 BPF391117:BPM391117 BZB391117:BZI391117 CIX391117:CJE391117 CST391117:CTA391117 DCP391117:DCW391117 DML391117:DMS391117 DWH391117:DWO391117 EGD391117:EGK391117 EPZ391117:EQG391117 EZV391117:FAC391117 FJR391117:FJY391117 FTN391117:FTU391117 GDJ391117:GDQ391117 GNF391117:GNM391117 GXB391117:GXI391117 HGX391117:HHE391117 HQT391117:HRA391117 IAP391117:IAW391117 IKL391117:IKS391117 IUH391117:IUO391117 JED391117:JEK391117 JNZ391117:JOG391117 JXV391117:JYC391117 KHR391117:KHY391117 KRN391117:KRU391117 LBJ391117:LBQ391117 LLF391117:LLM391117 LVB391117:LVI391117 MEX391117:MFE391117 MOT391117:MPA391117 MYP391117:MYW391117 NIL391117:NIS391117 NSH391117:NSO391117 OCD391117:OCK391117 OLZ391117:OMG391117 OVV391117:OWC391117 PFR391117:PFY391117 PPN391117:PPU391117 PZJ391117:PZQ391117 QJF391117:QJM391117 QTB391117:QTI391117 RCX391117:RDE391117 RMT391117:RNA391117 RWP391117:RWW391117 SGL391117:SGS391117 SQH391117:SQO391117 TAD391117:TAK391117 TJZ391117:TKG391117 TTV391117:TUC391117 UDR391117:UDY391117 UNN391117:UNU391117 UXJ391117:UXQ391117 VHF391117:VHM391117 VRB391117:VRI391117 WAX391117:WBE391117 WKT391117:WLA391117 WUP391117:WUW391117 TJZ980941:TKG980941 ID456653:IK456653 RZ456653:SG456653 ABV456653:ACC456653 ALR456653:ALY456653 AVN456653:AVU456653 BFJ456653:BFQ456653 BPF456653:BPM456653 BZB456653:BZI456653 CIX456653:CJE456653 CST456653:CTA456653 DCP456653:DCW456653 DML456653:DMS456653 DWH456653:DWO456653 EGD456653:EGK456653 EPZ456653:EQG456653 EZV456653:FAC456653 FJR456653:FJY456653 FTN456653:FTU456653 GDJ456653:GDQ456653 GNF456653:GNM456653 GXB456653:GXI456653 HGX456653:HHE456653 HQT456653:HRA456653 IAP456653:IAW456653 IKL456653:IKS456653 IUH456653:IUO456653 JED456653:JEK456653 JNZ456653:JOG456653 JXV456653:JYC456653 KHR456653:KHY456653 KRN456653:KRU456653 LBJ456653:LBQ456653 LLF456653:LLM456653 LVB456653:LVI456653 MEX456653:MFE456653 MOT456653:MPA456653 MYP456653:MYW456653 NIL456653:NIS456653 NSH456653:NSO456653 OCD456653:OCK456653 OLZ456653:OMG456653 OVV456653:OWC456653 PFR456653:PFY456653 PPN456653:PPU456653 PZJ456653:PZQ456653 QJF456653:QJM456653 QTB456653:QTI456653 RCX456653:RDE456653 RMT456653:RNA456653 RWP456653:RWW456653 SGL456653:SGS456653 SQH456653:SQO456653 TAD456653:TAK456653 TJZ456653:TKG456653 TTV456653:TUC456653 UDR456653:UDY456653 UNN456653:UNU456653 UXJ456653:UXQ456653 VHF456653:VHM456653 VRB456653:VRI456653 WAX456653:WBE456653 WKT456653:WLA456653 WUP456653:WUW456653 TTV980941:TUC980941 ID522189:IK522189 RZ522189:SG522189 ABV522189:ACC522189 ALR522189:ALY522189 AVN522189:AVU522189 BFJ522189:BFQ522189 BPF522189:BPM522189 BZB522189:BZI522189 CIX522189:CJE522189 CST522189:CTA522189 DCP522189:DCW522189 DML522189:DMS522189 DWH522189:DWO522189 EGD522189:EGK522189 EPZ522189:EQG522189 EZV522189:FAC522189 FJR522189:FJY522189 FTN522189:FTU522189 GDJ522189:GDQ522189 GNF522189:GNM522189 GXB522189:GXI522189 HGX522189:HHE522189 HQT522189:HRA522189 IAP522189:IAW522189 IKL522189:IKS522189 IUH522189:IUO522189 JED522189:JEK522189 JNZ522189:JOG522189 JXV522189:JYC522189 KHR522189:KHY522189 KRN522189:KRU522189 LBJ522189:LBQ522189 LLF522189:LLM522189 LVB522189:LVI522189 MEX522189:MFE522189 MOT522189:MPA522189 MYP522189:MYW522189 NIL522189:NIS522189 NSH522189:NSO522189 OCD522189:OCK522189 OLZ522189:OMG522189 OVV522189:OWC522189 PFR522189:PFY522189 PPN522189:PPU522189 PZJ522189:PZQ522189 QJF522189:QJM522189 QTB522189:QTI522189 RCX522189:RDE522189 RMT522189:RNA522189 RWP522189:RWW522189 SGL522189:SGS522189 SQH522189:SQO522189 TAD522189:TAK522189 TJZ522189:TKG522189 TTV522189:TUC522189 UDR522189:UDY522189 UNN522189:UNU522189 UXJ522189:UXQ522189 VHF522189:VHM522189 VRB522189:VRI522189 WAX522189:WBE522189 WKT522189:WLA522189 WUP522189:WUW522189 UDR980941:UDY980941 ID587725:IK587725 RZ587725:SG587725 ABV587725:ACC587725 ALR587725:ALY587725 AVN587725:AVU587725 BFJ587725:BFQ587725 BPF587725:BPM587725 BZB587725:BZI587725 CIX587725:CJE587725 CST587725:CTA587725 DCP587725:DCW587725 DML587725:DMS587725 DWH587725:DWO587725 EGD587725:EGK587725 EPZ587725:EQG587725 EZV587725:FAC587725 FJR587725:FJY587725 FTN587725:FTU587725 GDJ587725:GDQ587725 GNF587725:GNM587725 GXB587725:GXI587725 HGX587725:HHE587725 HQT587725:HRA587725 IAP587725:IAW587725 IKL587725:IKS587725 IUH587725:IUO587725 JED587725:JEK587725 JNZ587725:JOG587725 JXV587725:JYC587725 KHR587725:KHY587725 KRN587725:KRU587725 LBJ587725:LBQ587725 LLF587725:LLM587725 LVB587725:LVI587725 MEX587725:MFE587725 MOT587725:MPA587725 MYP587725:MYW587725 NIL587725:NIS587725 NSH587725:NSO587725 OCD587725:OCK587725 OLZ587725:OMG587725 OVV587725:OWC587725 PFR587725:PFY587725 PPN587725:PPU587725 PZJ587725:PZQ587725 QJF587725:QJM587725 QTB587725:QTI587725 RCX587725:RDE587725 RMT587725:RNA587725 RWP587725:RWW587725 SGL587725:SGS587725 SQH587725:SQO587725 TAD587725:TAK587725 TJZ587725:TKG587725 TTV587725:TUC587725 UDR587725:UDY587725 UNN587725:UNU587725 UXJ587725:UXQ587725 VHF587725:VHM587725 VRB587725:VRI587725 WAX587725:WBE587725 WKT587725:WLA587725 WUP587725:WUW587725 UNN980941:UNU980941 ID653261:IK653261 RZ653261:SG653261 ABV653261:ACC653261 ALR653261:ALY653261 AVN653261:AVU653261 BFJ653261:BFQ653261 BPF653261:BPM653261 BZB653261:BZI653261 CIX653261:CJE653261 CST653261:CTA653261 DCP653261:DCW653261 DML653261:DMS653261 DWH653261:DWO653261 EGD653261:EGK653261 EPZ653261:EQG653261 EZV653261:FAC653261 FJR653261:FJY653261 FTN653261:FTU653261 GDJ653261:GDQ653261 GNF653261:GNM653261 GXB653261:GXI653261 HGX653261:HHE653261 HQT653261:HRA653261 IAP653261:IAW653261 IKL653261:IKS653261 IUH653261:IUO653261 JED653261:JEK653261 JNZ653261:JOG653261 JXV653261:JYC653261 KHR653261:KHY653261 KRN653261:KRU653261 LBJ653261:LBQ653261 LLF653261:LLM653261 LVB653261:LVI653261 MEX653261:MFE653261 MOT653261:MPA653261 MYP653261:MYW653261 NIL653261:NIS653261 NSH653261:NSO653261 OCD653261:OCK653261 OLZ653261:OMG653261 OVV653261:OWC653261 PFR653261:PFY653261 PPN653261:PPU653261 PZJ653261:PZQ653261 QJF653261:QJM653261 QTB653261:QTI653261 RCX653261:RDE653261 RMT653261:RNA653261 RWP653261:RWW653261 SGL653261:SGS653261 SQH653261:SQO653261 TAD653261:TAK653261 TJZ653261:TKG653261 TTV653261:TUC653261 UDR653261:UDY653261 UNN653261:UNU653261 UXJ653261:UXQ653261 VHF653261:VHM653261 VRB653261:VRI653261 WAX653261:WBE653261 WKT653261:WLA653261 WUP653261:WUW653261 UXJ980941:UXQ980941 ID718797:IK718797 RZ718797:SG718797 ABV718797:ACC718797 ALR718797:ALY718797 AVN718797:AVU718797 BFJ718797:BFQ718797 BPF718797:BPM718797 BZB718797:BZI718797 CIX718797:CJE718797 CST718797:CTA718797 DCP718797:DCW718797 DML718797:DMS718797 DWH718797:DWO718797 EGD718797:EGK718797 EPZ718797:EQG718797 EZV718797:FAC718797 FJR718797:FJY718797 FTN718797:FTU718797 GDJ718797:GDQ718797 GNF718797:GNM718797 GXB718797:GXI718797 HGX718797:HHE718797 HQT718797:HRA718797 IAP718797:IAW718797 IKL718797:IKS718797 IUH718797:IUO718797 JED718797:JEK718797 JNZ718797:JOG718797 JXV718797:JYC718797 KHR718797:KHY718797 KRN718797:KRU718797 LBJ718797:LBQ718797 LLF718797:LLM718797 LVB718797:LVI718797 MEX718797:MFE718797 MOT718797:MPA718797 MYP718797:MYW718797 NIL718797:NIS718797 NSH718797:NSO718797 OCD718797:OCK718797 OLZ718797:OMG718797 OVV718797:OWC718797 PFR718797:PFY718797 PPN718797:PPU718797 PZJ718797:PZQ718797 QJF718797:QJM718797 QTB718797:QTI718797 RCX718797:RDE718797 RMT718797:RNA718797 RWP718797:RWW718797 SGL718797:SGS718797 SQH718797:SQO718797 TAD718797:TAK718797 TJZ718797:TKG718797 TTV718797:TUC718797 UDR718797:UDY718797 UNN718797:UNU718797 UXJ718797:UXQ718797 VHF718797:VHM718797 VRB718797:VRI718797 WAX718797:WBE718797 WKT718797:WLA718797 WUP718797:WUW718797 VHF980941:VHM980941 ID784333:IK784333 RZ784333:SG784333 ABV784333:ACC784333 ALR784333:ALY784333 AVN784333:AVU784333 BFJ784333:BFQ784333 BPF784333:BPM784333 BZB784333:BZI784333 CIX784333:CJE784333 CST784333:CTA784333 DCP784333:DCW784333 DML784333:DMS784333 DWH784333:DWO784333 EGD784333:EGK784333 EPZ784333:EQG784333 EZV784333:FAC784333 FJR784333:FJY784333 FTN784333:FTU784333 GDJ784333:GDQ784333 GNF784333:GNM784333 GXB784333:GXI784333 HGX784333:HHE784333 HQT784333:HRA784333 IAP784333:IAW784333 IKL784333:IKS784333 IUH784333:IUO784333 JED784333:JEK784333 JNZ784333:JOG784333 JXV784333:JYC784333 KHR784333:KHY784333 KRN784333:KRU784333 LBJ784333:LBQ784333 LLF784333:LLM784333 LVB784333:LVI784333 MEX784333:MFE784333 MOT784333:MPA784333 MYP784333:MYW784333 NIL784333:NIS784333 NSH784333:NSO784333 OCD784333:OCK784333 OLZ784333:OMG784333 OVV784333:OWC784333 PFR784333:PFY784333 PPN784333:PPU784333 PZJ784333:PZQ784333 QJF784333:QJM784333 QTB784333:QTI784333 RCX784333:RDE784333 RMT784333:RNA784333 RWP784333:RWW784333 SGL784333:SGS784333 SQH784333:SQO784333 TAD784333:TAK784333 TJZ784333:TKG784333 TTV784333:TUC784333 UDR784333:UDY784333 UNN784333:UNU784333 UXJ784333:UXQ784333 VHF784333:VHM784333 VRB784333:VRI784333 WAX784333:WBE784333 WKT784333:WLA784333 WUP784333:WUW784333 VRB980941:VRI980941 ID849869:IK849869 RZ849869:SG849869 ABV849869:ACC849869 ALR849869:ALY849869 AVN849869:AVU849869 BFJ849869:BFQ849869 BPF849869:BPM849869 BZB849869:BZI849869 CIX849869:CJE849869 CST849869:CTA849869 DCP849869:DCW849869 DML849869:DMS849869 DWH849869:DWO849869 EGD849869:EGK849869 EPZ849869:EQG849869 EZV849869:FAC849869 FJR849869:FJY849869 FTN849869:FTU849869 GDJ849869:GDQ849869 GNF849869:GNM849869 GXB849869:GXI849869 HGX849869:HHE849869 HQT849869:HRA849869 IAP849869:IAW849869 IKL849869:IKS849869 IUH849869:IUO849869 JED849869:JEK849869 JNZ849869:JOG849869 JXV849869:JYC849869 KHR849869:KHY849869 KRN849869:KRU849869 LBJ849869:LBQ849869 LLF849869:LLM849869 LVB849869:LVI849869 MEX849869:MFE849869 MOT849869:MPA849869 MYP849869:MYW849869 NIL849869:NIS849869 NSH849869:NSO849869 OCD849869:OCK849869 OLZ849869:OMG849869 OVV849869:OWC849869 PFR849869:PFY849869 PPN849869:PPU849869 PZJ849869:PZQ849869 QJF849869:QJM849869 QTB849869:QTI849869 RCX849869:RDE849869 RMT849869:RNA849869 RWP849869:RWW849869 SGL849869:SGS849869 SQH849869:SQO849869 TAD849869:TAK849869 TJZ849869:TKG849869 TTV849869:TUC849869 UDR849869:UDY849869 UNN849869:UNU849869 UXJ849869:UXQ849869 VHF849869:VHM849869 VRB849869:VRI849869 WAX849869:WBE849869 WKT849869:WLA849869 WUP849869:WUW849869 WAX980941:WBE980941 ID915405:IK915405 RZ915405:SG915405 ABV915405:ACC915405 ALR915405:ALY915405 AVN915405:AVU915405 BFJ915405:BFQ915405 BPF915405:BPM915405 BZB915405:BZI915405 CIX915405:CJE915405 CST915405:CTA915405 DCP915405:DCW915405 DML915405:DMS915405 DWH915405:DWO915405 EGD915405:EGK915405 EPZ915405:EQG915405 EZV915405:FAC915405 FJR915405:FJY915405 FTN915405:FTU915405 GDJ915405:GDQ915405 GNF915405:GNM915405 GXB915405:GXI915405 HGX915405:HHE915405 HQT915405:HRA915405 IAP915405:IAW915405 IKL915405:IKS915405 IUH915405:IUO915405 JED915405:JEK915405 JNZ915405:JOG915405 JXV915405:JYC915405 KHR915405:KHY915405 KRN915405:KRU915405 LBJ915405:LBQ915405 LLF915405:LLM915405 LVB915405:LVI915405 MEX915405:MFE915405 MOT915405:MPA915405 MYP915405:MYW915405 NIL915405:NIS915405 NSH915405:NSO915405 OCD915405:OCK915405 OLZ915405:OMG915405 OVV915405:OWC915405 PFR915405:PFY915405 PPN915405:PPU915405 PZJ915405:PZQ915405 QJF915405:QJM915405 QTB915405:QTI915405 RCX915405:RDE915405 RMT915405:RNA915405 RWP915405:RWW915405 SGL915405:SGS915405 SQH915405:SQO915405 TAD915405:TAK915405 TJZ915405:TKG915405 TTV915405:TUC915405 UDR915405:UDY915405 UNN915405:UNU915405 UXJ915405:UXQ915405 VHF915405:VHM915405 VRB915405:VRI915405 WAX915405:WBE915405 WKT915405:WLA915405 WUP915405:WUW915405 WKT980941:WLA980941 ID980941:IK980941 RZ980941:SG980941 ABV980941:ACC980941 ALR980941:ALY980941 AVN980941:AVU980941 BFJ980941:BFQ980941 BPF980941:BPM980941 BZB980941:BZI980941 CIX980941:CJE980941 CST980941:CTA980941 DCP980941:DCW980941 DML980941:DMS980941 DWH980941:DWO980941 EGD980941:EGK980941 EPZ980941:EQG980941 EZV980941:FAC980941 FJR980941:FJY980941 FTN980941:FTU980941 GDJ980941:GDQ980941 GNF980941:GNM980941 GXB980941:GXI980941 HGX980941:HHE980941 HQT980941:HRA980941 IAP980941:IAW980941 IKL980941:IKS980941 IUH980941:IUO980941 JED980941:JEK980941 JNZ980941:JOG980941 JXV980941:JYC980941 KHR980941:KHY980941 KRN980941:KRU980941 LBJ980941:LBQ980941 LLF980941:LLM980941 LVB980941:LVI980941 MEX980941:MFE980941 MOT980941:MPA980941 MYP980941:MYW980941 NIL980941:NIS980941 NSH980941:NSO980941 OCD980941:OCK980941 OLZ980941:OMG980941 OVV980941:OWC980941 PFR980941:PFY980941 PPN980941:PPU980941 PZJ980941:PZQ980941 QJF980941:QJM980941 QTB980941:QTI980941 H849869:N849869 H784333:N784333 H718797:N718797 H653261:N653261 H587725:N587725 H522189:N522189 H456653:N456653 H391117:N391117 H325581:N325581 H260045:N260045 H194509:N194509 H128973:N128973 H63437:N63437 H980941:N980941 H915405:N915405" xr:uid="{00000000-0002-0000-0200-000001000000}">
      <formula1>"改修,新営"</formula1>
    </dataValidation>
    <dataValidation type="list" allowBlank="1" showInputMessage="1" showErrorMessage="1" sqref="WUP980945:WUW980945 RZ26:SG26 ABV26:ACC26 ALR26:ALY26 AVN26:AVU26 BFJ26:BFQ26 BPF26:BPM26 BZB26:BZI26 CIX26:CJE26 CST26:CTA26 DCP26:DCW26 DML26:DMS26 DWH26:DWO26 EGD26:EGK26 EPZ26:EQG26 EZV26:FAC26 FJR26:FJY26 FTN26:FTU26 GDJ26:GDQ26 GNF26:GNM26 GXB26:GXI26 HGX26:HHE26 HQT26:HRA26 IAP26:IAW26 IKL26:IKS26 IUH26:IUO26 JED26:JEK26 JNZ26:JOG26 JXV26:JYC26 KHR26:KHY26 KRN26:KRU26 LBJ26:LBQ26 LLF26:LLM26 LVB26:LVI26 MEX26:MFE26 MOT26:MPA26 MYP26:MYW26 NIL26:NIS26 NSH26:NSO26 OCD26:OCK26 OLZ26:OMG26 OVV26:OWC26 PFR26:PFY26 PPN26:PPU26 PZJ26:PZQ26 QJF26:QJM26 QTB26:QTI26 RCX26:RDE26 RMT26:RNA26 RWP26:RWW26 SGL26:SGS26 SQH26:SQO26 TAD26:TAK26 TJZ26:TKG26 TTV26:TUC26 UDR26:UDY26 UNN26:UNU26 UXJ26:UXQ26 VHF26:VHM26 VRB26:VRI26 WAX26:WBE26 WKT26:WLA26 WUP26:WUW26 WKT980945:WLA980945 RWP55:RWW55 ID63441:IK63441 RZ63441:SG63441 ABV63441:ACC63441 ALR63441:ALY63441 AVN63441:AVU63441 BFJ63441:BFQ63441 BPF63441:BPM63441 BZB63441:BZI63441 CIX63441:CJE63441 CST63441:CTA63441 DCP63441:DCW63441 DML63441:DMS63441 DWH63441:DWO63441 EGD63441:EGK63441 EPZ63441:EQG63441 EZV63441:FAC63441 FJR63441:FJY63441 FTN63441:FTU63441 GDJ63441:GDQ63441 GNF63441:GNM63441 GXB63441:GXI63441 HGX63441:HHE63441 HQT63441:HRA63441 IAP63441:IAW63441 IKL63441:IKS63441 IUH63441:IUO63441 JED63441:JEK63441 JNZ63441:JOG63441 JXV63441:JYC63441 KHR63441:KHY63441 KRN63441:KRU63441 LBJ63441:LBQ63441 LLF63441:LLM63441 LVB63441:LVI63441 MEX63441:MFE63441 MOT63441:MPA63441 MYP63441:MYW63441 NIL63441:NIS63441 NSH63441:NSO63441 OCD63441:OCK63441 OLZ63441:OMG63441 OVV63441:OWC63441 PFR63441:PFY63441 PPN63441:PPU63441 PZJ63441:PZQ63441 QJF63441:QJM63441 QTB63441:QTI63441 RCX63441:RDE63441 RMT63441:RNA63441 RWP63441:RWW63441 SGL63441:SGS63441 SQH63441:SQO63441 TAD63441:TAK63441 TJZ63441:TKG63441 TTV63441:TUC63441 UDR63441:UDY63441 UNN63441:UNU63441 UXJ63441:UXQ63441 VHF63441:VHM63441 VRB63441:VRI63441 WAX63441:WBE63441 WKT63441:WLA63441 WUP63441:WUW63441 SGL55:SGS55 ID128977:IK128977 RZ128977:SG128977 ABV128977:ACC128977 ALR128977:ALY128977 AVN128977:AVU128977 BFJ128977:BFQ128977 BPF128977:BPM128977 BZB128977:BZI128977 CIX128977:CJE128977 CST128977:CTA128977 DCP128977:DCW128977 DML128977:DMS128977 DWH128977:DWO128977 EGD128977:EGK128977 EPZ128977:EQG128977 EZV128977:FAC128977 FJR128977:FJY128977 FTN128977:FTU128977 GDJ128977:GDQ128977 GNF128977:GNM128977 GXB128977:GXI128977 HGX128977:HHE128977 HQT128977:HRA128977 IAP128977:IAW128977 IKL128977:IKS128977 IUH128977:IUO128977 JED128977:JEK128977 JNZ128977:JOG128977 JXV128977:JYC128977 KHR128977:KHY128977 KRN128977:KRU128977 LBJ128977:LBQ128977 LLF128977:LLM128977 LVB128977:LVI128977 MEX128977:MFE128977 MOT128977:MPA128977 MYP128977:MYW128977 NIL128977:NIS128977 NSH128977:NSO128977 OCD128977:OCK128977 OLZ128977:OMG128977 OVV128977:OWC128977 PFR128977:PFY128977 PPN128977:PPU128977 PZJ128977:PZQ128977 QJF128977:QJM128977 QTB128977:QTI128977 RCX128977:RDE128977 RMT128977:RNA128977 RWP128977:RWW128977 SGL128977:SGS128977 SQH128977:SQO128977 TAD128977:TAK128977 TJZ128977:TKG128977 TTV128977:TUC128977 UDR128977:UDY128977 UNN128977:UNU128977 UXJ128977:UXQ128977 VHF128977:VHM128977 VRB128977:VRI128977 WAX128977:WBE128977 WKT128977:WLA128977 WUP128977:WUW128977 SQH55:SQO55 ID194513:IK194513 RZ194513:SG194513 ABV194513:ACC194513 ALR194513:ALY194513 AVN194513:AVU194513 BFJ194513:BFQ194513 BPF194513:BPM194513 BZB194513:BZI194513 CIX194513:CJE194513 CST194513:CTA194513 DCP194513:DCW194513 DML194513:DMS194513 DWH194513:DWO194513 EGD194513:EGK194513 EPZ194513:EQG194513 EZV194513:FAC194513 FJR194513:FJY194513 FTN194513:FTU194513 GDJ194513:GDQ194513 GNF194513:GNM194513 GXB194513:GXI194513 HGX194513:HHE194513 HQT194513:HRA194513 IAP194513:IAW194513 IKL194513:IKS194513 IUH194513:IUO194513 JED194513:JEK194513 JNZ194513:JOG194513 JXV194513:JYC194513 KHR194513:KHY194513 KRN194513:KRU194513 LBJ194513:LBQ194513 LLF194513:LLM194513 LVB194513:LVI194513 MEX194513:MFE194513 MOT194513:MPA194513 MYP194513:MYW194513 NIL194513:NIS194513 NSH194513:NSO194513 OCD194513:OCK194513 OLZ194513:OMG194513 OVV194513:OWC194513 PFR194513:PFY194513 PPN194513:PPU194513 PZJ194513:PZQ194513 QJF194513:QJM194513 QTB194513:QTI194513 RCX194513:RDE194513 RMT194513:RNA194513 RWP194513:RWW194513 SGL194513:SGS194513 SQH194513:SQO194513 TAD194513:TAK194513 TJZ194513:TKG194513 TTV194513:TUC194513 UDR194513:UDY194513 UNN194513:UNU194513 UXJ194513:UXQ194513 VHF194513:VHM194513 VRB194513:VRI194513 WAX194513:WBE194513 WKT194513:WLA194513 WUP194513:WUW194513 TAD55:TAK55 ID260049:IK260049 RZ260049:SG260049 ABV260049:ACC260049 ALR260049:ALY260049 AVN260049:AVU260049 BFJ260049:BFQ260049 BPF260049:BPM260049 BZB260049:BZI260049 CIX260049:CJE260049 CST260049:CTA260049 DCP260049:DCW260049 DML260049:DMS260049 DWH260049:DWO260049 EGD260049:EGK260049 EPZ260049:EQG260049 EZV260049:FAC260049 FJR260049:FJY260049 FTN260049:FTU260049 GDJ260049:GDQ260049 GNF260049:GNM260049 GXB260049:GXI260049 HGX260049:HHE260049 HQT260049:HRA260049 IAP260049:IAW260049 IKL260049:IKS260049 IUH260049:IUO260049 JED260049:JEK260049 JNZ260049:JOG260049 JXV260049:JYC260049 KHR260049:KHY260049 KRN260049:KRU260049 LBJ260049:LBQ260049 LLF260049:LLM260049 LVB260049:LVI260049 MEX260049:MFE260049 MOT260049:MPA260049 MYP260049:MYW260049 NIL260049:NIS260049 NSH260049:NSO260049 OCD260049:OCK260049 OLZ260049:OMG260049 OVV260049:OWC260049 PFR260049:PFY260049 PPN260049:PPU260049 PZJ260049:PZQ260049 QJF260049:QJM260049 QTB260049:QTI260049 RCX260049:RDE260049 RMT260049:RNA260049 RWP260049:RWW260049 SGL260049:SGS260049 SQH260049:SQO260049 TAD260049:TAK260049 TJZ260049:TKG260049 TTV260049:TUC260049 UDR260049:UDY260049 UNN260049:UNU260049 UXJ260049:UXQ260049 VHF260049:VHM260049 VRB260049:VRI260049 WAX260049:WBE260049 WKT260049:WLA260049 WUP260049:WUW260049 TJZ55:TKG55 ID325585:IK325585 RZ325585:SG325585 ABV325585:ACC325585 ALR325585:ALY325585 AVN325585:AVU325585 BFJ325585:BFQ325585 BPF325585:BPM325585 BZB325585:BZI325585 CIX325585:CJE325585 CST325585:CTA325585 DCP325585:DCW325585 DML325585:DMS325585 DWH325585:DWO325585 EGD325585:EGK325585 EPZ325585:EQG325585 EZV325585:FAC325585 FJR325585:FJY325585 FTN325585:FTU325585 GDJ325585:GDQ325585 GNF325585:GNM325585 GXB325585:GXI325585 HGX325585:HHE325585 HQT325585:HRA325585 IAP325585:IAW325585 IKL325585:IKS325585 IUH325585:IUO325585 JED325585:JEK325585 JNZ325585:JOG325585 JXV325585:JYC325585 KHR325585:KHY325585 KRN325585:KRU325585 LBJ325585:LBQ325585 LLF325585:LLM325585 LVB325585:LVI325585 MEX325585:MFE325585 MOT325585:MPA325585 MYP325585:MYW325585 NIL325585:NIS325585 NSH325585:NSO325585 OCD325585:OCK325585 OLZ325585:OMG325585 OVV325585:OWC325585 PFR325585:PFY325585 PPN325585:PPU325585 PZJ325585:PZQ325585 QJF325585:QJM325585 QTB325585:QTI325585 RCX325585:RDE325585 RMT325585:RNA325585 RWP325585:RWW325585 SGL325585:SGS325585 SQH325585:SQO325585 TAD325585:TAK325585 TJZ325585:TKG325585 TTV325585:TUC325585 UDR325585:UDY325585 UNN325585:UNU325585 UXJ325585:UXQ325585 VHF325585:VHM325585 VRB325585:VRI325585 WAX325585:WBE325585 WKT325585:WLA325585 WUP325585:WUW325585 TTV55:TUC55 ID391121:IK391121 RZ391121:SG391121 ABV391121:ACC391121 ALR391121:ALY391121 AVN391121:AVU391121 BFJ391121:BFQ391121 BPF391121:BPM391121 BZB391121:BZI391121 CIX391121:CJE391121 CST391121:CTA391121 DCP391121:DCW391121 DML391121:DMS391121 DWH391121:DWO391121 EGD391121:EGK391121 EPZ391121:EQG391121 EZV391121:FAC391121 FJR391121:FJY391121 FTN391121:FTU391121 GDJ391121:GDQ391121 GNF391121:GNM391121 GXB391121:GXI391121 HGX391121:HHE391121 HQT391121:HRA391121 IAP391121:IAW391121 IKL391121:IKS391121 IUH391121:IUO391121 JED391121:JEK391121 JNZ391121:JOG391121 JXV391121:JYC391121 KHR391121:KHY391121 KRN391121:KRU391121 LBJ391121:LBQ391121 LLF391121:LLM391121 LVB391121:LVI391121 MEX391121:MFE391121 MOT391121:MPA391121 MYP391121:MYW391121 NIL391121:NIS391121 NSH391121:NSO391121 OCD391121:OCK391121 OLZ391121:OMG391121 OVV391121:OWC391121 PFR391121:PFY391121 PPN391121:PPU391121 PZJ391121:PZQ391121 QJF391121:QJM391121 QTB391121:QTI391121 RCX391121:RDE391121 RMT391121:RNA391121 RWP391121:RWW391121 SGL391121:SGS391121 SQH391121:SQO391121 TAD391121:TAK391121 TJZ391121:TKG391121 TTV391121:TUC391121 UDR391121:UDY391121 UNN391121:UNU391121 UXJ391121:UXQ391121 VHF391121:VHM391121 VRB391121:VRI391121 WAX391121:WBE391121 WKT391121:WLA391121 WUP391121:WUW391121 UDR55:UDY55 ID456657:IK456657 RZ456657:SG456657 ABV456657:ACC456657 ALR456657:ALY456657 AVN456657:AVU456657 BFJ456657:BFQ456657 BPF456657:BPM456657 BZB456657:BZI456657 CIX456657:CJE456657 CST456657:CTA456657 DCP456657:DCW456657 DML456657:DMS456657 DWH456657:DWO456657 EGD456657:EGK456657 EPZ456657:EQG456657 EZV456657:FAC456657 FJR456657:FJY456657 FTN456657:FTU456657 GDJ456657:GDQ456657 GNF456657:GNM456657 GXB456657:GXI456657 HGX456657:HHE456657 HQT456657:HRA456657 IAP456657:IAW456657 IKL456657:IKS456657 IUH456657:IUO456657 JED456657:JEK456657 JNZ456657:JOG456657 JXV456657:JYC456657 KHR456657:KHY456657 KRN456657:KRU456657 LBJ456657:LBQ456657 LLF456657:LLM456657 LVB456657:LVI456657 MEX456657:MFE456657 MOT456657:MPA456657 MYP456657:MYW456657 NIL456657:NIS456657 NSH456657:NSO456657 OCD456657:OCK456657 OLZ456657:OMG456657 OVV456657:OWC456657 PFR456657:PFY456657 PPN456657:PPU456657 PZJ456657:PZQ456657 QJF456657:QJM456657 QTB456657:QTI456657 RCX456657:RDE456657 RMT456657:RNA456657 RWP456657:RWW456657 SGL456657:SGS456657 SQH456657:SQO456657 TAD456657:TAK456657 TJZ456657:TKG456657 TTV456657:TUC456657 UDR456657:UDY456657 UNN456657:UNU456657 UXJ456657:UXQ456657 VHF456657:VHM456657 VRB456657:VRI456657 WAX456657:WBE456657 WKT456657:WLA456657 WUP456657:WUW456657 UNN55:UNU55 ID522193:IK522193 RZ522193:SG522193 ABV522193:ACC522193 ALR522193:ALY522193 AVN522193:AVU522193 BFJ522193:BFQ522193 BPF522193:BPM522193 BZB522193:BZI522193 CIX522193:CJE522193 CST522193:CTA522193 DCP522193:DCW522193 DML522193:DMS522193 DWH522193:DWO522193 EGD522193:EGK522193 EPZ522193:EQG522193 EZV522193:FAC522193 FJR522193:FJY522193 FTN522193:FTU522193 GDJ522193:GDQ522193 GNF522193:GNM522193 GXB522193:GXI522193 HGX522193:HHE522193 HQT522193:HRA522193 IAP522193:IAW522193 IKL522193:IKS522193 IUH522193:IUO522193 JED522193:JEK522193 JNZ522193:JOG522193 JXV522193:JYC522193 KHR522193:KHY522193 KRN522193:KRU522193 LBJ522193:LBQ522193 LLF522193:LLM522193 LVB522193:LVI522193 MEX522193:MFE522193 MOT522193:MPA522193 MYP522193:MYW522193 NIL522193:NIS522193 NSH522193:NSO522193 OCD522193:OCK522193 OLZ522193:OMG522193 OVV522193:OWC522193 PFR522193:PFY522193 PPN522193:PPU522193 PZJ522193:PZQ522193 QJF522193:QJM522193 QTB522193:QTI522193 RCX522193:RDE522193 RMT522193:RNA522193 RWP522193:RWW522193 SGL522193:SGS522193 SQH522193:SQO522193 TAD522193:TAK522193 TJZ522193:TKG522193 TTV522193:TUC522193 UDR522193:UDY522193 UNN522193:UNU522193 UXJ522193:UXQ522193 VHF522193:VHM522193 VRB522193:VRI522193 WAX522193:WBE522193 WKT522193:WLA522193 WUP522193:WUW522193 UXJ55:UXQ55 ID587729:IK587729 RZ587729:SG587729 ABV587729:ACC587729 ALR587729:ALY587729 AVN587729:AVU587729 BFJ587729:BFQ587729 BPF587729:BPM587729 BZB587729:BZI587729 CIX587729:CJE587729 CST587729:CTA587729 DCP587729:DCW587729 DML587729:DMS587729 DWH587729:DWO587729 EGD587729:EGK587729 EPZ587729:EQG587729 EZV587729:FAC587729 FJR587729:FJY587729 FTN587729:FTU587729 GDJ587729:GDQ587729 GNF587729:GNM587729 GXB587729:GXI587729 HGX587729:HHE587729 HQT587729:HRA587729 IAP587729:IAW587729 IKL587729:IKS587729 IUH587729:IUO587729 JED587729:JEK587729 JNZ587729:JOG587729 JXV587729:JYC587729 KHR587729:KHY587729 KRN587729:KRU587729 LBJ587729:LBQ587729 LLF587729:LLM587729 LVB587729:LVI587729 MEX587729:MFE587729 MOT587729:MPA587729 MYP587729:MYW587729 NIL587729:NIS587729 NSH587729:NSO587729 OCD587729:OCK587729 OLZ587729:OMG587729 OVV587729:OWC587729 PFR587729:PFY587729 PPN587729:PPU587729 PZJ587729:PZQ587729 QJF587729:QJM587729 QTB587729:QTI587729 RCX587729:RDE587729 RMT587729:RNA587729 RWP587729:RWW587729 SGL587729:SGS587729 SQH587729:SQO587729 TAD587729:TAK587729 TJZ587729:TKG587729 TTV587729:TUC587729 UDR587729:UDY587729 UNN587729:UNU587729 UXJ587729:UXQ587729 VHF587729:VHM587729 VRB587729:VRI587729 WAX587729:WBE587729 WKT587729:WLA587729 WUP587729:WUW587729 VHF55:VHM55 ID653265:IK653265 RZ653265:SG653265 ABV653265:ACC653265 ALR653265:ALY653265 AVN653265:AVU653265 BFJ653265:BFQ653265 BPF653265:BPM653265 BZB653265:BZI653265 CIX653265:CJE653265 CST653265:CTA653265 DCP653265:DCW653265 DML653265:DMS653265 DWH653265:DWO653265 EGD653265:EGK653265 EPZ653265:EQG653265 EZV653265:FAC653265 FJR653265:FJY653265 FTN653265:FTU653265 GDJ653265:GDQ653265 GNF653265:GNM653265 GXB653265:GXI653265 HGX653265:HHE653265 HQT653265:HRA653265 IAP653265:IAW653265 IKL653265:IKS653265 IUH653265:IUO653265 JED653265:JEK653265 JNZ653265:JOG653265 JXV653265:JYC653265 KHR653265:KHY653265 KRN653265:KRU653265 LBJ653265:LBQ653265 LLF653265:LLM653265 LVB653265:LVI653265 MEX653265:MFE653265 MOT653265:MPA653265 MYP653265:MYW653265 NIL653265:NIS653265 NSH653265:NSO653265 OCD653265:OCK653265 OLZ653265:OMG653265 OVV653265:OWC653265 PFR653265:PFY653265 PPN653265:PPU653265 PZJ653265:PZQ653265 QJF653265:QJM653265 QTB653265:QTI653265 RCX653265:RDE653265 RMT653265:RNA653265 RWP653265:RWW653265 SGL653265:SGS653265 SQH653265:SQO653265 TAD653265:TAK653265 TJZ653265:TKG653265 TTV653265:TUC653265 UDR653265:UDY653265 UNN653265:UNU653265 UXJ653265:UXQ653265 VHF653265:VHM653265 VRB653265:VRI653265 WAX653265:WBE653265 WKT653265:WLA653265 WUP653265:WUW653265 VRB55:VRI55 ID718801:IK718801 RZ718801:SG718801 ABV718801:ACC718801 ALR718801:ALY718801 AVN718801:AVU718801 BFJ718801:BFQ718801 BPF718801:BPM718801 BZB718801:BZI718801 CIX718801:CJE718801 CST718801:CTA718801 DCP718801:DCW718801 DML718801:DMS718801 DWH718801:DWO718801 EGD718801:EGK718801 EPZ718801:EQG718801 EZV718801:FAC718801 FJR718801:FJY718801 FTN718801:FTU718801 GDJ718801:GDQ718801 GNF718801:GNM718801 GXB718801:GXI718801 HGX718801:HHE718801 HQT718801:HRA718801 IAP718801:IAW718801 IKL718801:IKS718801 IUH718801:IUO718801 JED718801:JEK718801 JNZ718801:JOG718801 JXV718801:JYC718801 KHR718801:KHY718801 KRN718801:KRU718801 LBJ718801:LBQ718801 LLF718801:LLM718801 LVB718801:LVI718801 MEX718801:MFE718801 MOT718801:MPA718801 MYP718801:MYW718801 NIL718801:NIS718801 NSH718801:NSO718801 OCD718801:OCK718801 OLZ718801:OMG718801 OVV718801:OWC718801 PFR718801:PFY718801 PPN718801:PPU718801 PZJ718801:PZQ718801 QJF718801:QJM718801 QTB718801:QTI718801 RCX718801:RDE718801 RMT718801:RNA718801 RWP718801:RWW718801 SGL718801:SGS718801 SQH718801:SQO718801 TAD718801:TAK718801 TJZ718801:TKG718801 TTV718801:TUC718801 UDR718801:UDY718801 UNN718801:UNU718801 UXJ718801:UXQ718801 VHF718801:VHM718801 VRB718801:VRI718801 WAX718801:WBE718801 WKT718801:WLA718801 WUP718801:WUW718801 WAX55:WBE55 ID784337:IK784337 RZ784337:SG784337 ABV784337:ACC784337 ALR784337:ALY784337 AVN784337:AVU784337 BFJ784337:BFQ784337 BPF784337:BPM784337 BZB784337:BZI784337 CIX784337:CJE784337 CST784337:CTA784337 DCP784337:DCW784337 DML784337:DMS784337 DWH784337:DWO784337 EGD784337:EGK784337 EPZ784337:EQG784337 EZV784337:FAC784337 FJR784337:FJY784337 FTN784337:FTU784337 GDJ784337:GDQ784337 GNF784337:GNM784337 GXB784337:GXI784337 HGX784337:HHE784337 HQT784337:HRA784337 IAP784337:IAW784337 IKL784337:IKS784337 IUH784337:IUO784337 JED784337:JEK784337 JNZ784337:JOG784337 JXV784337:JYC784337 KHR784337:KHY784337 KRN784337:KRU784337 LBJ784337:LBQ784337 LLF784337:LLM784337 LVB784337:LVI784337 MEX784337:MFE784337 MOT784337:MPA784337 MYP784337:MYW784337 NIL784337:NIS784337 NSH784337:NSO784337 OCD784337:OCK784337 OLZ784337:OMG784337 OVV784337:OWC784337 PFR784337:PFY784337 PPN784337:PPU784337 PZJ784337:PZQ784337 QJF784337:QJM784337 QTB784337:QTI784337 RCX784337:RDE784337 RMT784337:RNA784337 RWP784337:RWW784337 SGL784337:SGS784337 SQH784337:SQO784337 TAD784337:TAK784337 TJZ784337:TKG784337 TTV784337:TUC784337 UDR784337:UDY784337 UNN784337:UNU784337 UXJ784337:UXQ784337 VHF784337:VHM784337 VRB784337:VRI784337 WAX784337:WBE784337 WKT784337:WLA784337 WUP784337:WUW784337 WKT55:WLA55 ID849873:IK849873 RZ849873:SG849873 ABV849873:ACC849873 ALR849873:ALY849873 AVN849873:AVU849873 BFJ849873:BFQ849873 BPF849873:BPM849873 BZB849873:BZI849873 CIX849873:CJE849873 CST849873:CTA849873 DCP849873:DCW849873 DML849873:DMS849873 DWH849873:DWO849873 EGD849873:EGK849873 EPZ849873:EQG849873 EZV849873:FAC849873 FJR849873:FJY849873 FTN849873:FTU849873 GDJ849873:GDQ849873 GNF849873:GNM849873 GXB849873:GXI849873 HGX849873:HHE849873 HQT849873:HRA849873 IAP849873:IAW849873 IKL849873:IKS849873 IUH849873:IUO849873 JED849873:JEK849873 JNZ849873:JOG849873 JXV849873:JYC849873 KHR849873:KHY849873 KRN849873:KRU849873 LBJ849873:LBQ849873 LLF849873:LLM849873 LVB849873:LVI849873 MEX849873:MFE849873 MOT849873:MPA849873 MYP849873:MYW849873 NIL849873:NIS849873 NSH849873:NSO849873 OCD849873:OCK849873 OLZ849873:OMG849873 OVV849873:OWC849873 PFR849873:PFY849873 PPN849873:PPU849873 PZJ849873:PZQ849873 QJF849873:QJM849873 QTB849873:QTI849873 RCX849873:RDE849873 RMT849873:RNA849873 RWP849873:RWW849873 SGL849873:SGS849873 SQH849873:SQO849873 TAD849873:TAK849873 TJZ849873:TKG849873 TTV849873:TUC849873 UDR849873:UDY849873 UNN849873:UNU849873 UXJ849873:UXQ849873 VHF849873:VHM849873 VRB849873:VRI849873 WAX849873:WBE849873 WKT849873:WLA849873 WUP849873:WUW849873 WUP55:WUW55 ID915409:IK915409 RZ915409:SG915409 ABV915409:ACC915409 ALR915409:ALY915409 AVN915409:AVU915409 BFJ915409:BFQ915409 BPF915409:BPM915409 BZB915409:BZI915409 CIX915409:CJE915409 CST915409:CTA915409 DCP915409:DCW915409 DML915409:DMS915409 DWH915409:DWO915409 EGD915409:EGK915409 EPZ915409:EQG915409 EZV915409:FAC915409 FJR915409:FJY915409 FTN915409:FTU915409 GDJ915409:GDQ915409 GNF915409:GNM915409 GXB915409:GXI915409 HGX915409:HHE915409 HQT915409:HRA915409 IAP915409:IAW915409 IKL915409:IKS915409 IUH915409:IUO915409 JED915409:JEK915409 JNZ915409:JOG915409 JXV915409:JYC915409 KHR915409:KHY915409 KRN915409:KRU915409 LBJ915409:LBQ915409 LLF915409:LLM915409 LVB915409:LVI915409 MEX915409:MFE915409 MOT915409:MPA915409 MYP915409:MYW915409 NIL915409:NIS915409 NSH915409:NSO915409 OCD915409:OCK915409 OLZ915409:OMG915409 OVV915409:OWC915409 PFR915409:PFY915409 PPN915409:PPU915409 PZJ915409:PZQ915409 QJF915409:QJM915409 QTB915409:QTI915409 RCX915409:RDE915409 RMT915409:RNA915409 RWP915409:RWW915409 SGL915409:SGS915409 SQH915409:SQO915409 TAD915409:TAK915409 TJZ915409:TKG915409 TTV915409:TUC915409 UDR915409:UDY915409 UNN915409:UNU915409 UXJ915409:UXQ915409 VHF915409:VHM915409 VRB915409:VRI915409 WAX915409:WBE915409 WKT915409:WLA915409 WUP915409:WUW915409 ID55:IK55 ID980945:IK980945 RZ980945:SG980945 ABV980945:ACC980945 ALR980945:ALY980945 AVN980945:AVU980945 BFJ980945:BFQ980945 BPF980945:BPM980945 BZB980945:BZI980945 CIX980945:CJE980945 CST980945:CTA980945 DCP980945:DCW980945 DML980945:DMS980945 DWH980945:DWO980945 EGD980945:EGK980945 EPZ980945:EQG980945 EZV980945:FAC980945 FJR980945:FJY980945 FTN980945:FTU980945 GDJ980945:GDQ980945 GNF980945:GNM980945 GXB980945:GXI980945 HGX980945:HHE980945 HQT980945:HRA980945 IAP980945:IAW980945 IKL980945:IKS980945 IUH980945:IUO980945 JED980945:JEK980945 JNZ980945:JOG980945 JXV980945:JYC980945 KHR980945:KHY980945 KRN980945:KRU980945 LBJ980945:LBQ980945 LLF980945:LLM980945 LVB980945:LVI980945 MEX980945:MFE980945 MOT980945:MPA980945 MYP980945:MYW980945 NIL980945:NIS980945 NSH980945:NSO980945 OCD980945:OCK980945 OLZ980945:OMG980945 OVV980945:OWC980945 PFR980945:PFY980945 PPN980945:PPU980945 PZJ980945:PZQ980945 QJF980945:QJM980945 QTB980945:QTI980945 RCX980945:RDE980945 RMT980945:RNA980945 RWP980945:RWW980945 SGL980945:SGS980945 SQH980945:SQO980945 TAD980945:TAK980945 TJZ980945:TKG980945 TTV980945:TUC980945 UDR980945:UDY980945 UNN980945:UNU980945 UXJ980945:UXQ980945 VHF980945:VHM980945 VRB980945:VRI980945 WAX980945:WBE980945 ID26:IK26 RZ77:SG77 ABV77:ACC77 ALR77:ALY77 AVN77:AVU77 BFJ77:BFQ77 BPF77:BPM77 BZB77:BZI77 CIX77:CJE77 CST77:CTA77 DCP77:DCW77 DML77:DMS77 DWH77:DWO77 EGD77:EGK77 EPZ77:EQG77 EZV77:FAC77 FJR77:FJY77 FTN77:FTU77 GDJ77:GDQ77 GNF77:GNM77 GXB77:GXI77 HGX77:HHE77 HQT77:HRA77 IAP77:IAW77 IKL77:IKS77 IUH77:IUO77 JED77:JEK77 JNZ77:JOG77 JXV77:JYC77 KHR77:KHY77 KRN77:KRU77 LBJ77:LBQ77 LLF77:LLM77 LVB77:LVI77 MEX77:MFE77 MOT77:MPA77 MYP77:MYW77 NIL77:NIS77 NSH77:NSO77 OCD77:OCK77 OLZ77:OMG77 OVV77:OWC77 PFR77:PFY77 PPN77:PPU77 PZJ77:PZQ77 QJF77:QJM77 QTB77:QTI77 RCX77:RDE77 RMT77:RNA77 RWP77:RWW77 SGL77:SGS77 SQH77:SQO77 TAD77:TAK77 TJZ77:TKG77 TTV77:TUC77 UDR77:UDY77 UNN77:UNU77 UXJ77:UXQ77 VHF77:VHM77 VRB77:VRI77 WAX77:WBE77 WKT77:WLA77 WUP77:WUW77 ID77:IK77 RZ55:SG55 ABV55:ACC55 ALR55:ALY55 AVN55:AVU55 BFJ55:BFQ55 BPF55:BPM55 BZB55:BZI55 CIX55:CJE55 CST55:CTA55 DCP55:DCW55 DML55:DMS55 DWH55:DWO55 EGD55:EGK55 EPZ55:EQG55 EZV55:FAC55 FJR55:FJY55 FTN55:FTU55 GDJ55:GDQ55 GNF55:GNM55 GXB55:GXI55 HGX55:HHE55 HQT55:HRA55 IAP55:IAW55 IKL55:IKS55 IUH55:IUO55 JED55:JEK55 JNZ55:JOG55 JXV55:JYC55 KHR55:KHY55 KRN55:KRU55 LBJ55:LBQ55 LLF55:LLM55 LVB55:LVI55 MEX55:MFE55 MOT55:MPA55 MYP55:MYW55 NIL55:NIS55 NSH55:NSO55 OCD55:OCK55 OLZ55:OMG55 OVV55:OWC55 PFR55:PFY55 PPN55:PPU55 PZJ55:PZQ55 QJF55:QJM55 QTB55:QTI55 RCX55:RDE55 RMT55:RNA55 H849873:N849873 H784337:N784337 H718801:N718801 H653265:N653265 H587729:N587729 H522193:N522193 H456657:N456657 H391121:N391121 H325585:N325585 H260049:N260049 H194513:N194513 H128977:N128977 H63441:N63441 H980945:N980945 H915409:N915409" xr:uid="{00000000-0002-0000-0200-000002000000}">
      <formula1>"　　　,有り"</formula1>
    </dataValidation>
    <dataValidation type="list" allowBlank="1" showInputMessage="1" showErrorMessage="1" sqref="WUP980944:WUW980944 RMT54:RNA54 ID63440:IK63440 RZ63440:SG63440 ABV63440:ACC63440 ALR63440:ALY63440 AVN63440:AVU63440 BFJ63440:BFQ63440 BPF63440:BPM63440 BZB63440:BZI63440 CIX63440:CJE63440 CST63440:CTA63440 DCP63440:DCW63440 DML63440:DMS63440 DWH63440:DWO63440 EGD63440:EGK63440 EPZ63440:EQG63440 EZV63440:FAC63440 FJR63440:FJY63440 FTN63440:FTU63440 GDJ63440:GDQ63440 GNF63440:GNM63440 GXB63440:GXI63440 HGX63440:HHE63440 HQT63440:HRA63440 IAP63440:IAW63440 IKL63440:IKS63440 IUH63440:IUO63440 JED63440:JEK63440 JNZ63440:JOG63440 JXV63440:JYC63440 KHR63440:KHY63440 KRN63440:KRU63440 LBJ63440:LBQ63440 LLF63440:LLM63440 LVB63440:LVI63440 MEX63440:MFE63440 MOT63440:MPA63440 MYP63440:MYW63440 NIL63440:NIS63440 NSH63440:NSO63440 OCD63440:OCK63440 OLZ63440:OMG63440 OVV63440:OWC63440 PFR63440:PFY63440 PPN63440:PPU63440 PZJ63440:PZQ63440 QJF63440:QJM63440 QTB63440:QTI63440 RCX63440:RDE63440 RMT63440:RNA63440 RWP63440:RWW63440 SGL63440:SGS63440 SQH63440:SQO63440 TAD63440:TAK63440 TJZ63440:TKG63440 TTV63440:TUC63440 UDR63440:UDY63440 UNN63440:UNU63440 UXJ63440:UXQ63440 VHF63440:VHM63440 VRB63440:VRI63440 WAX63440:WBE63440 WKT63440:WLA63440 WUP63440:WUW63440 RWP54:RWW54 ID128976:IK128976 RZ128976:SG128976 ABV128976:ACC128976 ALR128976:ALY128976 AVN128976:AVU128976 BFJ128976:BFQ128976 BPF128976:BPM128976 BZB128976:BZI128976 CIX128976:CJE128976 CST128976:CTA128976 DCP128976:DCW128976 DML128976:DMS128976 DWH128976:DWO128976 EGD128976:EGK128976 EPZ128976:EQG128976 EZV128976:FAC128976 FJR128976:FJY128976 FTN128976:FTU128976 GDJ128976:GDQ128976 GNF128976:GNM128976 GXB128976:GXI128976 HGX128976:HHE128976 HQT128976:HRA128976 IAP128976:IAW128976 IKL128976:IKS128976 IUH128976:IUO128976 JED128976:JEK128976 JNZ128976:JOG128976 JXV128976:JYC128976 KHR128976:KHY128976 KRN128976:KRU128976 LBJ128976:LBQ128976 LLF128976:LLM128976 LVB128976:LVI128976 MEX128976:MFE128976 MOT128976:MPA128976 MYP128976:MYW128976 NIL128976:NIS128976 NSH128976:NSO128976 OCD128976:OCK128976 OLZ128976:OMG128976 OVV128976:OWC128976 PFR128976:PFY128976 PPN128976:PPU128976 PZJ128976:PZQ128976 QJF128976:QJM128976 QTB128976:QTI128976 RCX128976:RDE128976 RMT128976:RNA128976 RWP128976:RWW128976 SGL128976:SGS128976 SQH128976:SQO128976 TAD128976:TAK128976 TJZ128976:TKG128976 TTV128976:TUC128976 UDR128976:UDY128976 UNN128976:UNU128976 UXJ128976:UXQ128976 VHF128976:VHM128976 VRB128976:VRI128976 WAX128976:WBE128976 WKT128976:WLA128976 WUP128976:WUW128976 SGL54:SGS54 ID194512:IK194512 RZ194512:SG194512 ABV194512:ACC194512 ALR194512:ALY194512 AVN194512:AVU194512 BFJ194512:BFQ194512 BPF194512:BPM194512 BZB194512:BZI194512 CIX194512:CJE194512 CST194512:CTA194512 DCP194512:DCW194512 DML194512:DMS194512 DWH194512:DWO194512 EGD194512:EGK194512 EPZ194512:EQG194512 EZV194512:FAC194512 FJR194512:FJY194512 FTN194512:FTU194512 GDJ194512:GDQ194512 GNF194512:GNM194512 GXB194512:GXI194512 HGX194512:HHE194512 HQT194512:HRA194512 IAP194512:IAW194512 IKL194512:IKS194512 IUH194512:IUO194512 JED194512:JEK194512 JNZ194512:JOG194512 JXV194512:JYC194512 KHR194512:KHY194512 KRN194512:KRU194512 LBJ194512:LBQ194512 LLF194512:LLM194512 LVB194512:LVI194512 MEX194512:MFE194512 MOT194512:MPA194512 MYP194512:MYW194512 NIL194512:NIS194512 NSH194512:NSO194512 OCD194512:OCK194512 OLZ194512:OMG194512 OVV194512:OWC194512 PFR194512:PFY194512 PPN194512:PPU194512 PZJ194512:PZQ194512 QJF194512:QJM194512 QTB194512:QTI194512 RCX194512:RDE194512 RMT194512:RNA194512 RWP194512:RWW194512 SGL194512:SGS194512 SQH194512:SQO194512 TAD194512:TAK194512 TJZ194512:TKG194512 TTV194512:TUC194512 UDR194512:UDY194512 UNN194512:UNU194512 UXJ194512:UXQ194512 VHF194512:VHM194512 VRB194512:VRI194512 WAX194512:WBE194512 WKT194512:WLA194512 WUP194512:WUW194512 SQH54:SQO54 ID260048:IK260048 RZ260048:SG260048 ABV260048:ACC260048 ALR260048:ALY260048 AVN260048:AVU260048 BFJ260048:BFQ260048 BPF260048:BPM260048 BZB260048:BZI260048 CIX260048:CJE260048 CST260048:CTA260048 DCP260048:DCW260048 DML260048:DMS260048 DWH260048:DWO260048 EGD260048:EGK260048 EPZ260048:EQG260048 EZV260048:FAC260048 FJR260048:FJY260048 FTN260048:FTU260048 GDJ260048:GDQ260048 GNF260048:GNM260048 GXB260048:GXI260048 HGX260048:HHE260048 HQT260048:HRA260048 IAP260048:IAW260048 IKL260048:IKS260048 IUH260048:IUO260048 JED260048:JEK260048 JNZ260048:JOG260048 JXV260048:JYC260048 KHR260048:KHY260048 KRN260048:KRU260048 LBJ260048:LBQ260048 LLF260048:LLM260048 LVB260048:LVI260048 MEX260048:MFE260048 MOT260048:MPA260048 MYP260048:MYW260048 NIL260048:NIS260048 NSH260048:NSO260048 OCD260048:OCK260048 OLZ260048:OMG260048 OVV260048:OWC260048 PFR260048:PFY260048 PPN260048:PPU260048 PZJ260048:PZQ260048 QJF260048:QJM260048 QTB260048:QTI260048 RCX260048:RDE260048 RMT260048:RNA260048 RWP260048:RWW260048 SGL260048:SGS260048 SQH260048:SQO260048 TAD260048:TAK260048 TJZ260048:TKG260048 TTV260048:TUC260048 UDR260048:UDY260048 UNN260048:UNU260048 UXJ260048:UXQ260048 VHF260048:VHM260048 VRB260048:VRI260048 WAX260048:WBE260048 WKT260048:WLA260048 WUP260048:WUW260048 TAD54:TAK54 ID325584:IK325584 RZ325584:SG325584 ABV325584:ACC325584 ALR325584:ALY325584 AVN325584:AVU325584 BFJ325584:BFQ325584 BPF325584:BPM325584 BZB325584:BZI325584 CIX325584:CJE325584 CST325584:CTA325584 DCP325584:DCW325584 DML325584:DMS325584 DWH325584:DWO325584 EGD325584:EGK325584 EPZ325584:EQG325584 EZV325584:FAC325584 FJR325584:FJY325584 FTN325584:FTU325584 GDJ325584:GDQ325584 GNF325584:GNM325584 GXB325584:GXI325584 HGX325584:HHE325584 HQT325584:HRA325584 IAP325584:IAW325584 IKL325584:IKS325584 IUH325584:IUO325584 JED325584:JEK325584 JNZ325584:JOG325584 JXV325584:JYC325584 KHR325584:KHY325584 KRN325584:KRU325584 LBJ325584:LBQ325584 LLF325584:LLM325584 LVB325584:LVI325584 MEX325584:MFE325584 MOT325584:MPA325584 MYP325584:MYW325584 NIL325584:NIS325584 NSH325584:NSO325584 OCD325584:OCK325584 OLZ325584:OMG325584 OVV325584:OWC325584 PFR325584:PFY325584 PPN325584:PPU325584 PZJ325584:PZQ325584 QJF325584:QJM325584 QTB325584:QTI325584 RCX325584:RDE325584 RMT325584:RNA325584 RWP325584:RWW325584 SGL325584:SGS325584 SQH325584:SQO325584 TAD325584:TAK325584 TJZ325584:TKG325584 TTV325584:TUC325584 UDR325584:UDY325584 UNN325584:UNU325584 UXJ325584:UXQ325584 VHF325584:VHM325584 VRB325584:VRI325584 WAX325584:WBE325584 WKT325584:WLA325584 WUP325584:WUW325584 TJZ54:TKG54 ID391120:IK391120 RZ391120:SG391120 ABV391120:ACC391120 ALR391120:ALY391120 AVN391120:AVU391120 BFJ391120:BFQ391120 BPF391120:BPM391120 BZB391120:BZI391120 CIX391120:CJE391120 CST391120:CTA391120 DCP391120:DCW391120 DML391120:DMS391120 DWH391120:DWO391120 EGD391120:EGK391120 EPZ391120:EQG391120 EZV391120:FAC391120 FJR391120:FJY391120 FTN391120:FTU391120 GDJ391120:GDQ391120 GNF391120:GNM391120 GXB391120:GXI391120 HGX391120:HHE391120 HQT391120:HRA391120 IAP391120:IAW391120 IKL391120:IKS391120 IUH391120:IUO391120 JED391120:JEK391120 JNZ391120:JOG391120 JXV391120:JYC391120 KHR391120:KHY391120 KRN391120:KRU391120 LBJ391120:LBQ391120 LLF391120:LLM391120 LVB391120:LVI391120 MEX391120:MFE391120 MOT391120:MPA391120 MYP391120:MYW391120 NIL391120:NIS391120 NSH391120:NSO391120 OCD391120:OCK391120 OLZ391120:OMG391120 OVV391120:OWC391120 PFR391120:PFY391120 PPN391120:PPU391120 PZJ391120:PZQ391120 QJF391120:QJM391120 QTB391120:QTI391120 RCX391120:RDE391120 RMT391120:RNA391120 RWP391120:RWW391120 SGL391120:SGS391120 SQH391120:SQO391120 TAD391120:TAK391120 TJZ391120:TKG391120 TTV391120:TUC391120 UDR391120:UDY391120 UNN391120:UNU391120 UXJ391120:UXQ391120 VHF391120:VHM391120 VRB391120:VRI391120 WAX391120:WBE391120 WKT391120:WLA391120 WUP391120:WUW391120 TTV54:TUC54 ID456656:IK456656 RZ456656:SG456656 ABV456656:ACC456656 ALR456656:ALY456656 AVN456656:AVU456656 BFJ456656:BFQ456656 BPF456656:BPM456656 BZB456656:BZI456656 CIX456656:CJE456656 CST456656:CTA456656 DCP456656:DCW456656 DML456656:DMS456656 DWH456656:DWO456656 EGD456656:EGK456656 EPZ456656:EQG456656 EZV456656:FAC456656 FJR456656:FJY456656 FTN456656:FTU456656 GDJ456656:GDQ456656 GNF456656:GNM456656 GXB456656:GXI456656 HGX456656:HHE456656 HQT456656:HRA456656 IAP456656:IAW456656 IKL456656:IKS456656 IUH456656:IUO456656 JED456656:JEK456656 JNZ456656:JOG456656 JXV456656:JYC456656 KHR456656:KHY456656 KRN456656:KRU456656 LBJ456656:LBQ456656 LLF456656:LLM456656 LVB456656:LVI456656 MEX456656:MFE456656 MOT456656:MPA456656 MYP456656:MYW456656 NIL456656:NIS456656 NSH456656:NSO456656 OCD456656:OCK456656 OLZ456656:OMG456656 OVV456656:OWC456656 PFR456656:PFY456656 PPN456656:PPU456656 PZJ456656:PZQ456656 QJF456656:QJM456656 QTB456656:QTI456656 RCX456656:RDE456656 RMT456656:RNA456656 RWP456656:RWW456656 SGL456656:SGS456656 SQH456656:SQO456656 TAD456656:TAK456656 TJZ456656:TKG456656 TTV456656:TUC456656 UDR456656:UDY456656 UNN456656:UNU456656 UXJ456656:UXQ456656 VHF456656:VHM456656 VRB456656:VRI456656 WAX456656:WBE456656 WKT456656:WLA456656 WUP456656:WUW456656 UDR54:UDY54 ID522192:IK522192 RZ522192:SG522192 ABV522192:ACC522192 ALR522192:ALY522192 AVN522192:AVU522192 BFJ522192:BFQ522192 BPF522192:BPM522192 BZB522192:BZI522192 CIX522192:CJE522192 CST522192:CTA522192 DCP522192:DCW522192 DML522192:DMS522192 DWH522192:DWO522192 EGD522192:EGK522192 EPZ522192:EQG522192 EZV522192:FAC522192 FJR522192:FJY522192 FTN522192:FTU522192 GDJ522192:GDQ522192 GNF522192:GNM522192 GXB522192:GXI522192 HGX522192:HHE522192 HQT522192:HRA522192 IAP522192:IAW522192 IKL522192:IKS522192 IUH522192:IUO522192 JED522192:JEK522192 JNZ522192:JOG522192 JXV522192:JYC522192 KHR522192:KHY522192 KRN522192:KRU522192 LBJ522192:LBQ522192 LLF522192:LLM522192 LVB522192:LVI522192 MEX522192:MFE522192 MOT522192:MPA522192 MYP522192:MYW522192 NIL522192:NIS522192 NSH522192:NSO522192 OCD522192:OCK522192 OLZ522192:OMG522192 OVV522192:OWC522192 PFR522192:PFY522192 PPN522192:PPU522192 PZJ522192:PZQ522192 QJF522192:QJM522192 QTB522192:QTI522192 RCX522192:RDE522192 RMT522192:RNA522192 RWP522192:RWW522192 SGL522192:SGS522192 SQH522192:SQO522192 TAD522192:TAK522192 TJZ522192:TKG522192 TTV522192:TUC522192 UDR522192:UDY522192 UNN522192:UNU522192 UXJ522192:UXQ522192 VHF522192:VHM522192 VRB522192:VRI522192 WAX522192:WBE522192 WKT522192:WLA522192 WUP522192:WUW522192 UNN54:UNU54 ID587728:IK587728 RZ587728:SG587728 ABV587728:ACC587728 ALR587728:ALY587728 AVN587728:AVU587728 BFJ587728:BFQ587728 BPF587728:BPM587728 BZB587728:BZI587728 CIX587728:CJE587728 CST587728:CTA587728 DCP587728:DCW587728 DML587728:DMS587728 DWH587728:DWO587728 EGD587728:EGK587728 EPZ587728:EQG587728 EZV587728:FAC587728 FJR587728:FJY587728 FTN587728:FTU587728 GDJ587728:GDQ587728 GNF587728:GNM587728 GXB587728:GXI587728 HGX587728:HHE587728 HQT587728:HRA587728 IAP587728:IAW587728 IKL587728:IKS587728 IUH587728:IUO587728 JED587728:JEK587728 JNZ587728:JOG587728 JXV587728:JYC587728 KHR587728:KHY587728 KRN587728:KRU587728 LBJ587728:LBQ587728 LLF587728:LLM587728 LVB587728:LVI587728 MEX587728:MFE587728 MOT587728:MPA587728 MYP587728:MYW587728 NIL587728:NIS587728 NSH587728:NSO587728 OCD587728:OCK587728 OLZ587728:OMG587728 OVV587728:OWC587728 PFR587728:PFY587728 PPN587728:PPU587728 PZJ587728:PZQ587728 QJF587728:QJM587728 QTB587728:QTI587728 RCX587728:RDE587728 RMT587728:RNA587728 RWP587728:RWW587728 SGL587728:SGS587728 SQH587728:SQO587728 TAD587728:TAK587728 TJZ587728:TKG587728 TTV587728:TUC587728 UDR587728:UDY587728 UNN587728:UNU587728 UXJ587728:UXQ587728 VHF587728:VHM587728 VRB587728:VRI587728 WAX587728:WBE587728 WKT587728:WLA587728 WUP587728:WUW587728 UXJ54:UXQ54 ID653264:IK653264 RZ653264:SG653264 ABV653264:ACC653264 ALR653264:ALY653264 AVN653264:AVU653264 BFJ653264:BFQ653264 BPF653264:BPM653264 BZB653264:BZI653264 CIX653264:CJE653264 CST653264:CTA653264 DCP653264:DCW653264 DML653264:DMS653264 DWH653264:DWO653264 EGD653264:EGK653264 EPZ653264:EQG653264 EZV653264:FAC653264 FJR653264:FJY653264 FTN653264:FTU653264 GDJ653264:GDQ653264 GNF653264:GNM653264 GXB653264:GXI653264 HGX653264:HHE653264 HQT653264:HRA653264 IAP653264:IAW653264 IKL653264:IKS653264 IUH653264:IUO653264 JED653264:JEK653264 JNZ653264:JOG653264 JXV653264:JYC653264 KHR653264:KHY653264 KRN653264:KRU653264 LBJ653264:LBQ653264 LLF653264:LLM653264 LVB653264:LVI653264 MEX653264:MFE653264 MOT653264:MPA653264 MYP653264:MYW653264 NIL653264:NIS653264 NSH653264:NSO653264 OCD653264:OCK653264 OLZ653264:OMG653264 OVV653264:OWC653264 PFR653264:PFY653264 PPN653264:PPU653264 PZJ653264:PZQ653264 QJF653264:QJM653264 QTB653264:QTI653264 RCX653264:RDE653264 RMT653264:RNA653264 RWP653264:RWW653264 SGL653264:SGS653264 SQH653264:SQO653264 TAD653264:TAK653264 TJZ653264:TKG653264 TTV653264:TUC653264 UDR653264:UDY653264 UNN653264:UNU653264 UXJ653264:UXQ653264 VHF653264:VHM653264 VRB653264:VRI653264 WAX653264:WBE653264 WKT653264:WLA653264 WUP653264:WUW653264 VHF54:VHM54 ID718800:IK718800 RZ718800:SG718800 ABV718800:ACC718800 ALR718800:ALY718800 AVN718800:AVU718800 BFJ718800:BFQ718800 BPF718800:BPM718800 BZB718800:BZI718800 CIX718800:CJE718800 CST718800:CTA718800 DCP718800:DCW718800 DML718800:DMS718800 DWH718800:DWO718800 EGD718800:EGK718800 EPZ718800:EQG718800 EZV718800:FAC718800 FJR718800:FJY718800 FTN718800:FTU718800 GDJ718800:GDQ718800 GNF718800:GNM718800 GXB718800:GXI718800 HGX718800:HHE718800 HQT718800:HRA718800 IAP718800:IAW718800 IKL718800:IKS718800 IUH718800:IUO718800 JED718800:JEK718800 JNZ718800:JOG718800 JXV718800:JYC718800 KHR718800:KHY718800 KRN718800:KRU718800 LBJ718800:LBQ718800 LLF718800:LLM718800 LVB718800:LVI718800 MEX718800:MFE718800 MOT718800:MPA718800 MYP718800:MYW718800 NIL718800:NIS718800 NSH718800:NSO718800 OCD718800:OCK718800 OLZ718800:OMG718800 OVV718800:OWC718800 PFR718800:PFY718800 PPN718800:PPU718800 PZJ718800:PZQ718800 QJF718800:QJM718800 QTB718800:QTI718800 RCX718800:RDE718800 RMT718800:RNA718800 RWP718800:RWW718800 SGL718800:SGS718800 SQH718800:SQO718800 TAD718800:TAK718800 TJZ718800:TKG718800 TTV718800:TUC718800 UDR718800:UDY718800 UNN718800:UNU718800 UXJ718800:UXQ718800 VHF718800:VHM718800 VRB718800:VRI718800 WAX718800:WBE718800 WKT718800:WLA718800 WUP718800:WUW718800 VRB54:VRI54 ID784336:IK784336 RZ784336:SG784336 ABV784336:ACC784336 ALR784336:ALY784336 AVN784336:AVU784336 BFJ784336:BFQ784336 BPF784336:BPM784336 BZB784336:BZI784336 CIX784336:CJE784336 CST784336:CTA784336 DCP784336:DCW784336 DML784336:DMS784336 DWH784336:DWO784336 EGD784336:EGK784336 EPZ784336:EQG784336 EZV784336:FAC784336 FJR784336:FJY784336 FTN784336:FTU784336 GDJ784336:GDQ784336 GNF784336:GNM784336 GXB784336:GXI784336 HGX784336:HHE784336 HQT784336:HRA784336 IAP784336:IAW784336 IKL784336:IKS784336 IUH784336:IUO784336 JED784336:JEK784336 JNZ784336:JOG784336 JXV784336:JYC784336 KHR784336:KHY784336 KRN784336:KRU784336 LBJ784336:LBQ784336 LLF784336:LLM784336 LVB784336:LVI784336 MEX784336:MFE784336 MOT784336:MPA784336 MYP784336:MYW784336 NIL784336:NIS784336 NSH784336:NSO784336 OCD784336:OCK784336 OLZ784336:OMG784336 OVV784336:OWC784336 PFR784336:PFY784336 PPN784336:PPU784336 PZJ784336:PZQ784336 QJF784336:QJM784336 QTB784336:QTI784336 RCX784336:RDE784336 RMT784336:RNA784336 RWP784336:RWW784336 SGL784336:SGS784336 SQH784336:SQO784336 TAD784336:TAK784336 TJZ784336:TKG784336 TTV784336:TUC784336 UDR784336:UDY784336 UNN784336:UNU784336 UXJ784336:UXQ784336 VHF784336:VHM784336 VRB784336:VRI784336 WAX784336:WBE784336 WKT784336:WLA784336 WUP784336:WUW784336 WAX54:WBE54 ID849872:IK849872 RZ849872:SG849872 ABV849872:ACC849872 ALR849872:ALY849872 AVN849872:AVU849872 BFJ849872:BFQ849872 BPF849872:BPM849872 BZB849872:BZI849872 CIX849872:CJE849872 CST849872:CTA849872 DCP849872:DCW849872 DML849872:DMS849872 DWH849872:DWO849872 EGD849872:EGK849872 EPZ849872:EQG849872 EZV849872:FAC849872 FJR849872:FJY849872 FTN849872:FTU849872 GDJ849872:GDQ849872 GNF849872:GNM849872 GXB849872:GXI849872 HGX849872:HHE849872 HQT849872:HRA849872 IAP849872:IAW849872 IKL849872:IKS849872 IUH849872:IUO849872 JED849872:JEK849872 JNZ849872:JOG849872 JXV849872:JYC849872 KHR849872:KHY849872 KRN849872:KRU849872 LBJ849872:LBQ849872 LLF849872:LLM849872 LVB849872:LVI849872 MEX849872:MFE849872 MOT849872:MPA849872 MYP849872:MYW849872 NIL849872:NIS849872 NSH849872:NSO849872 OCD849872:OCK849872 OLZ849872:OMG849872 OVV849872:OWC849872 PFR849872:PFY849872 PPN849872:PPU849872 PZJ849872:PZQ849872 QJF849872:QJM849872 QTB849872:QTI849872 RCX849872:RDE849872 RMT849872:RNA849872 RWP849872:RWW849872 SGL849872:SGS849872 SQH849872:SQO849872 TAD849872:TAK849872 TJZ849872:TKG849872 TTV849872:TUC849872 UDR849872:UDY849872 UNN849872:UNU849872 UXJ849872:UXQ849872 VHF849872:VHM849872 VRB849872:VRI849872 WAX849872:WBE849872 WKT849872:WLA849872 WUP849872:WUW849872 WKT54:WLA54 ID915408:IK915408 RZ915408:SG915408 ABV915408:ACC915408 ALR915408:ALY915408 AVN915408:AVU915408 BFJ915408:BFQ915408 BPF915408:BPM915408 BZB915408:BZI915408 CIX915408:CJE915408 CST915408:CTA915408 DCP915408:DCW915408 DML915408:DMS915408 DWH915408:DWO915408 EGD915408:EGK915408 EPZ915408:EQG915408 EZV915408:FAC915408 FJR915408:FJY915408 FTN915408:FTU915408 GDJ915408:GDQ915408 GNF915408:GNM915408 GXB915408:GXI915408 HGX915408:HHE915408 HQT915408:HRA915408 IAP915408:IAW915408 IKL915408:IKS915408 IUH915408:IUO915408 JED915408:JEK915408 JNZ915408:JOG915408 JXV915408:JYC915408 KHR915408:KHY915408 KRN915408:KRU915408 LBJ915408:LBQ915408 LLF915408:LLM915408 LVB915408:LVI915408 MEX915408:MFE915408 MOT915408:MPA915408 MYP915408:MYW915408 NIL915408:NIS915408 NSH915408:NSO915408 OCD915408:OCK915408 OLZ915408:OMG915408 OVV915408:OWC915408 PFR915408:PFY915408 PPN915408:PPU915408 PZJ915408:PZQ915408 QJF915408:QJM915408 QTB915408:QTI915408 RCX915408:RDE915408 RMT915408:RNA915408 RWP915408:RWW915408 SGL915408:SGS915408 SQH915408:SQO915408 TAD915408:TAK915408 TJZ915408:TKG915408 TTV915408:TUC915408 UDR915408:UDY915408 UNN915408:UNU915408 UXJ915408:UXQ915408 VHF915408:VHM915408 VRB915408:VRI915408 WAX915408:WBE915408 WKT915408:WLA915408 WUP915408:WUW915408 WUP54:WUW54 ID980944:IK980944 RZ980944:SG980944 ABV980944:ACC980944 ALR980944:ALY980944 AVN980944:AVU980944 BFJ980944:BFQ980944 BPF980944:BPM980944 BZB980944:BZI980944 CIX980944:CJE980944 CST980944:CTA980944 DCP980944:DCW980944 DML980944:DMS980944 DWH980944:DWO980944 EGD980944:EGK980944 EPZ980944:EQG980944 EZV980944:FAC980944 FJR980944:FJY980944 FTN980944:FTU980944 GDJ980944:GDQ980944 GNF980944:GNM980944 GXB980944:GXI980944 HGX980944:HHE980944 HQT980944:HRA980944 IAP980944:IAW980944 IKL980944:IKS980944 IUH980944:IUO980944 JED980944:JEK980944 JNZ980944:JOG980944 JXV980944:JYC980944 KHR980944:KHY980944 KRN980944:KRU980944 LBJ980944:LBQ980944 LLF980944:LLM980944 LVB980944:LVI980944 MEX980944:MFE980944 MOT980944:MPA980944 MYP980944:MYW980944 NIL980944:NIS980944 NSH980944:NSO980944 OCD980944:OCK980944 OLZ980944:OMG980944 OVV980944:OWC980944 PFR980944:PFY980944 PPN980944:PPU980944 PZJ980944:PZQ980944 QJF980944:QJM980944 QTB980944:QTI980944 RCX980944:RDE980944 RMT980944:RNA980944 RWP980944:RWW980944 SGL980944:SGS980944 SQH980944:SQO980944 TAD980944:TAK980944 TJZ980944:TKG980944 TTV980944:TUC980944 UDR980944:UDY980944 UNN980944:UNU980944 UXJ980944:UXQ980944 VHF980944:VHM980944 VRB980944:VRI980944 WAX980944:WBE980944 WKT980944:WLA980944 ID76:IK76 RZ76:SG76 ABV76:ACC76 ALR76:ALY76 AVN76:AVU76 BFJ76:BFQ76 BPF76:BPM76 BZB76:BZI76 CIX76:CJE76 CST76:CTA76 DCP76:DCW76 DML76:DMS76 DWH76:DWO76 EGD76:EGK76 EPZ76:EQG76 EZV76:FAC76 FJR76:FJY76 FTN76:FTU76 GDJ76:GDQ76 GNF76:GNM76 GXB76:GXI76 HGX76:HHE76 HQT76:HRA76 IAP76:IAW76 IKL76:IKS76 IUH76:IUO76 JED76:JEK76 JNZ76:JOG76 JXV76:JYC76 KHR76:KHY76 KRN76:KRU76 LBJ76:LBQ76 LLF76:LLM76 LVB76:LVI76 MEX76:MFE76 MOT76:MPA76 MYP76:MYW76 NIL76:NIS76 NSH76:NSO76 OCD76:OCK76 OLZ76:OMG76 OVV76:OWC76 PFR76:PFY76 PPN76:PPU76 PZJ76:PZQ76 QJF76:QJM76 QTB76:QTI76 RCX76:RDE76 RMT76:RNA76 RWP76:RWW76 SGL76:SGS76 SQH76:SQO76 TAD76:TAK76 TJZ76:TKG76 TTV76:TUC76 UDR76:UDY76 UNN76:UNU76 UXJ76:UXQ76 VHF76:VHM76 VRB76:VRI76 WAX76:WBE76 WKT76:WLA76 WUP76:WUW76 ID54:IK54 RZ54:SG54 ABV54:ACC54 ALR54:ALY54 AVN54:AVU54 BFJ54:BFQ54 BPF54:BPM54 BZB54:BZI54 CIX54:CJE54 CST54:CTA54 DCP54:DCW54 DML54:DMS54 DWH54:DWO54 EGD54:EGK54 EPZ54:EQG54 EZV54:FAC54 FJR54:FJY54 FTN54:FTU54 GDJ54:GDQ54 GNF54:GNM54 GXB54:GXI54 HGX54:HHE54 HQT54:HRA54 IAP54:IAW54 IKL54:IKS54 IUH54:IUO54 JED54:JEK54 JNZ54:JOG54 JXV54:JYC54 KHR54:KHY54 KRN54:KRU54 LBJ54:LBQ54 LLF54:LLM54 LVB54:LVI54 MEX54:MFE54 MOT54:MPA54 MYP54:MYW54 NIL54:NIS54 NSH54:NSO54 OCD54:OCK54 OLZ54:OMG54 OVV54:OWC54 PFR54:PFY54 PPN54:PPU54 PZJ54:PZQ54 QJF54:QJM54 QTB54:QTI54 RCX54:RDE54 ID22:IK25 WUP19:WUW20 WKT19:WLA20 WAX19:WBE20 VRB19:VRI20 VHF19:VHM20 UXJ19:UXQ20 UNN19:UNU20 UDR19:UDY20 TTV19:TUC20 TJZ19:TKG20 TAD19:TAK20 SQH19:SQO20 SGL19:SGS20 RWP19:RWW20 RMT19:RNA20 RCX19:RDE20 QTB19:QTI20 QJF19:QJM20 PZJ19:PZQ20 PPN19:PPU20 PFR19:PFY20 OVV19:OWC20 OLZ19:OMG20 OCD19:OCK20 NSH19:NSO20 NIL19:NIS20 MYP19:MYW20 MOT19:MPA20 MEX19:MFE20 LVB19:LVI20 LLF19:LLM20 LBJ19:LBQ20 KRN19:KRU20 KHR19:KHY20 JXV19:JYC20 JNZ19:JOG20 JED19:JEK20 IUH19:IUO20 IKL19:IKS20 IAP19:IAW20 HQT19:HRA20 HGX19:HHE20 GXB19:GXI20 GNF19:GNM20 GDJ19:GDQ20 FTN19:FTU20 FJR19:FJY20 EZV19:FAC20 EPZ19:EQG20 EGD19:EGK20 DWH19:DWO20 DML19:DMS20 DCP19:DCW20 CST19:CTA20 CIX19:CJE20 BZB19:BZI20 BPF19:BPM20 BFJ19:BFQ20 AVN19:AVU20 ALR19:ALY20 ABV19:ACC20 RZ19:SG20 ID19:IK20 RZ22:SG25 ABV22:ACC25 ALR22:ALY25 AVN22:AVU25 BFJ22:BFQ25 BPF22:BPM25 BZB22:BZI25 CIX22:CJE25 CST22:CTA25 DCP22:DCW25 DML22:DMS25 DWH22:DWO25 EGD22:EGK25 EPZ22:EQG25 EZV22:FAC25 FJR22:FJY25 FTN22:FTU25 GDJ22:GDQ25 GNF22:GNM25 GXB22:GXI25 HGX22:HHE25 HQT22:HRA25 IAP22:IAW25 IKL22:IKS25 IUH22:IUO25 JED22:JEK25 JNZ22:JOG25 JXV22:JYC25 KHR22:KHY25 KRN22:KRU25 LBJ22:LBQ25 LLF22:LLM25 LVB22:LVI25 MEX22:MFE25 MOT22:MPA25 MYP22:MYW25 NIL22:NIS25 NSH22:NSO25 OCD22:OCK25 OLZ22:OMG25 OVV22:OWC25 PFR22:PFY25 PPN22:PPU25 PZJ22:PZQ25 QJF22:QJM25 QTB22:QTI25 RCX22:RDE25 RMT22:RNA25 RWP22:RWW25 SGL22:SGS25 SQH22:SQO25 TAD22:TAK25 TJZ22:TKG25 TTV22:TUC25 UDR22:UDY25 UNN22:UNU25 UXJ22:UXQ25 VHF22:VHM25 VRB22:VRI25 WAX22:WBE25 WKT22:WLA25 WUP22:WUW25 H784336:N784336 H718800:N718800 H653264:N653264 H587728:N587728 H522192:N522192 H456656:N456656 H391120:N391120 H325584:N325584 H260048:N260048 H194512:N194512 H128976:N128976 H63440:N63440 H980944:N980944 H915408:N915408 H849872:N849872" xr:uid="{00000000-0002-0000-0200-000003000000}">
      <formula1>"積上げ,積上げ・率処理併用"</formula1>
    </dataValidation>
    <dataValidation type="list" allowBlank="1" showInputMessage="1" showErrorMessage="1" sqref="WUN980944:WUN980945 WKR980944:WKR980945 F63440:F63441 IB63440:IB63441 RX63440:RX63441 ABT63440:ABT63441 ALP63440:ALP63441 AVL63440:AVL63441 BFH63440:BFH63441 BPD63440:BPD63441 BYZ63440:BYZ63441 CIV63440:CIV63441 CSR63440:CSR63441 DCN63440:DCN63441 DMJ63440:DMJ63441 DWF63440:DWF63441 EGB63440:EGB63441 EPX63440:EPX63441 EZT63440:EZT63441 FJP63440:FJP63441 FTL63440:FTL63441 GDH63440:GDH63441 GND63440:GND63441 GWZ63440:GWZ63441 HGV63440:HGV63441 HQR63440:HQR63441 IAN63440:IAN63441 IKJ63440:IKJ63441 IUF63440:IUF63441 JEB63440:JEB63441 JNX63440:JNX63441 JXT63440:JXT63441 KHP63440:KHP63441 KRL63440:KRL63441 LBH63440:LBH63441 LLD63440:LLD63441 LUZ63440:LUZ63441 MEV63440:MEV63441 MOR63440:MOR63441 MYN63440:MYN63441 NIJ63440:NIJ63441 NSF63440:NSF63441 OCB63440:OCB63441 OLX63440:OLX63441 OVT63440:OVT63441 PFP63440:PFP63441 PPL63440:PPL63441 PZH63440:PZH63441 QJD63440:QJD63441 QSZ63440:QSZ63441 RCV63440:RCV63441 RMR63440:RMR63441 RWN63440:RWN63441 SGJ63440:SGJ63441 SQF63440:SQF63441 TAB63440:TAB63441 TJX63440:TJX63441 TTT63440:TTT63441 UDP63440:UDP63441 UNL63440:UNL63441 UXH63440:UXH63441 VHD63440:VHD63441 VQZ63440:VQZ63441 WAV63440:WAV63441 WKR63440:WKR63441 WUN63440:WUN63441 F128976:F128977 IB128976:IB128977 RX128976:RX128977 ABT128976:ABT128977 ALP128976:ALP128977 AVL128976:AVL128977 BFH128976:BFH128977 BPD128976:BPD128977 BYZ128976:BYZ128977 CIV128976:CIV128977 CSR128976:CSR128977 DCN128976:DCN128977 DMJ128976:DMJ128977 DWF128976:DWF128977 EGB128976:EGB128977 EPX128976:EPX128977 EZT128976:EZT128977 FJP128976:FJP128977 FTL128976:FTL128977 GDH128976:GDH128977 GND128976:GND128977 GWZ128976:GWZ128977 HGV128976:HGV128977 HQR128976:HQR128977 IAN128976:IAN128977 IKJ128976:IKJ128977 IUF128976:IUF128977 JEB128976:JEB128977 JNX128976:JNX128977 JXT128976:JXT128977 KHP128976:KHP128977 KRL128976:KRL128977 LBH128976:LBH128977 LLD128976:LLD128977 LUZ128976:LUZ128977 MEV128976:MEV128977 MOR128976:MOR128977 MYN128976:MYN128977 NIJ128976:NIJ128977 NSF128976:NSF128977 OCB128976:OCB128977 OLX128976:OLX128977 OVT128976:OVT128977 PFP128976:PFP128977 PPL128976:PPL128977 PZH128976:PZH128977 QJD128976:QJD128977 QSZ128976:QSZ128977 RCV128976:RCV128977 RMR128976:RMR128977 RWN128976:RWN128977 SGJ128976:SGJ128977 SQF128976:SQF128977 TAB128976:TAB128977 TJX128976:TJX128977 TTT128976:TTT128977 UDP128976:UDP128977 UNL128976:UNL128977 UXH128976:UXH128977 VHD128976:VHD128977 VQZ128976:VQZ128977 WAV128976:WAV128977 WKR128976:WKR128977 WUN128976:WUN128977 F194512:F194513 IB194512:IB194513 RX194512:RX194513 ABT194512:ABT194513 ALP194512:ALP194513 AVL194512:AVL194513 BFH194512:BFH194513 BPD194512:BPD194513 BYZ194512:BYZ194513 CIV194512:CIV194513 CSR194512:CSR194513 DCN194512:DCN194513 DMJ194512:DMJ194513 DWF194512:DWF194513 EGB194512:EGB194513 EPX194512:EPX194513 EZT194512:EZT194513 FJP194512:FJP194513 FTL194512:FTL194513 GDH194512:GDH194513 GND194512:GND194513 GWZ194512:GWZ194513 HGV194512:HGV194513 HQR194512:HQR194513 IAN194512:IAN194513 IKJ194512:IKJ194513 IUF194512:IUF194513 JEB194512:JEB194513 JNX194512:JNX194513 JXT194512:JXT194513 KHP194512:KHP194513 KRL194512:KRL194513 LBH194512:LBH194513 LLD194512:LLD194513 LUZ194512:LUZ194513 MEV194512:MEV194513 MOR194512:MOR194513 MYN194512:MYN194513 NIJ194512:NIJ194513 NSF194512:NSF194513 OCB194512:OCB194513 OLX194512:OLX194513 OVT194512:OVT194513 PFP194512:PFP194513 PPL194512:PPL194513 PZH194512:PZH194513 QJD194512:QJD194513 QSZ194512:QSZ194513 RCV194512:RCV194513 RMR194512:RMR194513 RWN194512:RWN194513 SGJ194512:SGJ194513 SQF194512:SQF194513 TAB194512:TAB194513 TJX194512:TJX194513 TTT194512:TTT194513 UDP194512:UDP194513 UNL194512:UNL194513 UXH194512:UXH194513 VHD194512:VHD194513 VQZ194512:VQZ194513 WAV194512:WAV194513 WKR194512:WKR194513 WUN194512:WUN194513 F260048:F260049 IB260048:IB260049 RX260048:RX260049 ABT260048:ABT260049 ALP260048:ALP260049 AVL260048:AVL260049 BFH260048:BFH260049 BPD260048:BPD260049 BYZ260048:BYZ260049 CIV260048:CIV260049 CSR260048:CSR260049 DCN260048:DCN260049 DMJ260048:DMJ260049 DWF260048:DWF260049 EGB260048:EGB260049 EPX260048:EPX260049 EZT260048:EZT260049 FJP260048:FJP260049 FTL260048:FTL260049 GDH260048:GDH260049 GND260048:GND260049 GWZ260048:GWZ260049 HGV260048:HGV260049 HQR260048:HQR260049 IAN260048:IAN260049 IKJ260048:IKJ260049 IUF260048:IUF260049 JEB260048:JEB260049 JNX260048:JNX260049 JXT260048:JXT260049 KHP260048:KHP260049 KRL260048:KRL260049 LBH260048:LBH260049 LLD260048:LLD260049 LUZ260048:LUZ260049 MEV260048:MEV260049 MOR260048:MOR260049 MYN260048:MYN260049 NIJ260048:NIJ260049 NSF260048:NSF260049 OCB260048:OCB260049 OLX260048:OLX260049 OVT260048:OVT260049 PFP260048:PFP260049 PPL260048:PPL260049 PZH260048:PZH260049 QJD260048:QJD260049 QSZ260048:QSZ260049 RCV260048:RCV260049 RMR260048:RMR260049 RWN260048:RWN260049 SGJ260048:SGJ260049 SQF260048:SQF260049 TAB260048:TAB260049 TJX260048:TJX260049 TTT260048:TTT260049 UDP260048:UDP260049 UNL260048:UNL260049 UXH260048:UXH260049 VHD260048:VHD260049 VQZ260048:VQZ260049 WAV260048:WAV260049 WKR260048:WKR260049 WUN260048:WUN260049 F325584:F325585 IB325584:IB325585 RX325584:RX325585 ABT325584:ABT325585 ALP325584:ALP325585 AVL325584:AVL325585 BFH325584:BFH325585 BPD325584:BPD325585 BYZ325584:BYZ325585 CIV325584:CIV325585 CSR325584:CSR325585 DCN325584:DCN325585 DMJ325584:DMJ325585 DWF325584:DWF325585 EGB325584:EGB325585 EPX325584:EPX325585 EZT325584:EZT325585 FJP325584:FJP325585 FTL325584:FTL325585 GDH325584:GDH325585 GND325584:GND325585 GWZ325584:GWZ325585 HGV325584:HGV325585 HQR325584:HQR325585 IAN325584:IAN325585 IKJ325584:IKJ325585 IUF325584:IUF325585 JEB325584:JEB325585 JNX325584:JNX325585 JXT325584:JXT325585 KHP325584:KHP325585 KRL325584:KRL325585 LBH325584:LBH325585 LLD325584:LLD325585 LUZ325584:LUZ325585 MEV325584:MEV325585 MOR325584:MOR325585 MYN325584:MYN325585 NIJ325584:NIJ325585 NSF325584:NSF325585 OCB325584:OCB325585 OLX325584:OLX325585 OVT325584:OVT325585 PFP325584:PFP325585 PPL325584:PPL325585 PZH325584:PZH325585 QJD325584:QJD325585 QSZ325584:QSZ325585 RCV325584:RCV325585 RMR325584:RMR325585 RWN325584:RWN325585 SGJ325584:SGJ325585 SQF325584:SQF325585 TAB325584:TAB325585 TJX325584:TJX325585 TTT325584:TTT325585 UDP325584:UDP325585 UNL325584:UNL325585 UXH325584:UXH325585 VHD325584:VHD325585 VQZ325584:VQZ325585 WAV325584:WAV325585 WKR325584:WKR325585 WUN325584:WUN325585 F391120:F391121 IB391120:IB391121 RX391120:RX391121 ABT391120:ABT391121 ALP391120:ALP391121 AVL391120:AVL391121 BFH391120:BFH391121 BPD391120:BPD391121 BYZ391120:BYZ391121 CIV391120:CIV391121 CSR391120:CSR391121 DCN391120:DCN391121 DMJ391120:DMJ391121 DWF391120:DWF391121 EGB391120:EGB391121 EPX391120:EPX391121 EZT391120:EZT391121 FJP391120:FJP391121 FTL391120:FTL391121 GDH391120:GDH391121 GND391120:GND391121 GWZ391120:GWZ391121 HGV391120:HGV391121 HQR391120:HQR391121 IAN391120:IAN391121 IKJ391120:IKJ391121 IUF391120:IUF391121 JEB391120:JEB391121 JNX391120:JNX391121 JXT391120:JXT391121 KHP391120:KHP391121 KRL391120:KRL391121 LBH391120:LBH391121 LLD391120:LLD391121 LUZ391120:LUZ391121 MEV391120:MEV391121 MOR391120:MOR391121 MYN391120:MYN391121 NIJ391120:NIJ391121 NSF391120:NSF391121 OCB391120:OCB391121 OLX391120:OLX391121 OVT391120:OVT391121 PFP391120:PFP391121 PPL391120:PPL391121 PZH391120:PZH391121 QJD391120:QJD391121 QSZ391120:QSZ391121 RCV391120:RCV391121 RMR391120:RMR391121 RWN391120:RWN391121 SGJ391120:SGJ391121 SQF391120:SQF391121 TAB391120:TAB391121 TJX391120:TJX391121 TTT391120:TTT391121 UDP391120:UDP391121 UNL391120:UNL391121 UXH391120:UXH391121 VHD391120:VHD391121 VQZ391120:VQZ391121 WAV391120:WAV391121 WKR391120:WKR391121 WUN391120:WUN391121 F456656:F456657 IB456656:IB456657 RX456656:RX456657 ABT456656:ABT456657 ALP456656:ALP456657 AVL456656:AVL456657 BFH456656:BFH456657 BPD456656:BPD456657 BYZ456656:BYZ456657 CIV456656:CIV456657 CSR456656:CSR456657 DCN456656:DCN456657 DMJ456656:DMJ456657 DWF456656:DWF456657 EGB456656:EGB456657 EPX456656:EPX456657 EZT456656:EZT456657 FJP456656:FJP456657 FTL456656:FTL456657 GDH456656:GDH456657 GND456656:GND456657 GWZ456656:GWZ456657 HGV456656:HGV456657 HQR456656:HQR456657 IAN456656:IAN456657 IKJ456656:IKJ456657 IUF456656:IUF456657 JEB456656:JEB456657 JNX456656:JNX456657 JXT456656:JXT456657 KHP456656:KHP456657 KRL456656:KRL456657 LBH456656:LBH456657 LLD456656:LLD456657 LUZ456656:LUZ456657 MEV456656:MEV456657 MOR456656:MOR456657 MYN456656:MYN456657 NIJ456656:NIJ456657 NSF456656:NSF456657 OCB456656:OCB456657 OLX456656:OLX456657 OVT456656:OVT456657 PFP456656:PFP456657 PPL456656:PPL456657 PZH456656:PZH456657 QJD456656:QJD456657 QSZ456656:QSZ456657 RCV456656:RCV456657 RMR456656:RMR456657 RWN456656:RWN456657 SGJ456656:SGJ456657 SQF456656:SQF456657 TAB456656:TAB456657 TJX456656:TJX456657 TTT456656:TTT456657 UDP456656:UDP456657 UNL456656:UNL456657 UXH456656:UXH456657 VHD456656:VHD456657 VQZ456656:VQZ456657 WAV456656:WAV456657 WKR456656:WKR456657 WUN456656:WUN456657 F522192:F522193 IB522192:IB522193 RX522192:RX522193 ABT522192:ABT522193 ALP522192:ALP522193 AVL522192:AVL522193 BFH522192:BFH522193 BPD522192:BPD522193 BYZ522192:BYZ522193 CIV522192:CIV522193 CSR522192:CSR522193 DCN522192:DCN522193 DMJ522192:DMJ522193 DWF522192:DWF522193 EGB522192:EGB522193 EPX522192:EPX522193 EZT522192:EZT522193 FJP522192:FJP522193 FTL522192:FTL522193 GDH522192:GDH522193 GND522192:GND522193 GWZ522192:GWZ522193 HGV522192:HGV522193 HQR522192:HQR522193 IAN522192:IAN522193 IKJ522192:IKJ522193 IUF522192:IUF522193 JEB522192:JEB522193 JNX522192:JNX522193 JXT522192:JXT522193 KHP522192:KHP522193 KRL522192:KRL522193 LBH522192:LBH522193 LLD522192:LLD522193 LUZ522192:LUZ522193 MEV522192:MEV522193 MOR522192:MOR522193 MYN522192:MYN522193 NIJ522192:NIJ522193 NSF522192:NSF522193 OCB522192:OCB522193 OLX522192:OLX522193 OVT522192:OVT522193 PFP522192:PFP522193 PPL522192:PPL522193 PZH522192:PZH522193 QJD522192:QJD522193 QSZ522192:QSZ522193 RCV522192:RCV522193 RMR522192:RMR522193 RWN522192:RWN522193 SGJ522192:SGJ522193 SQF522192:SQF522193 TAB522192:TAB522193 TJX522192:TJX522193 TTT522192:TTT522193 UDP522192:UDP522193 UNL522192:UNL522193 UXH522192:UXH522193 VHD522192:VHD522193 VQZ522192:VQZ522193 WAV522192:WAV522193 WKR522192:WKR522193 WUN522192:WUN522193 F587728:F587729 IB587728:IB587729 RX587728:RX587729 ABT587728:ABT587729 ALP587728:ALP587729 AVL587728:AVL587729 BFH587728:BFH587729 BPD587728:BPD587729 BYZ587728:BYZ587729 CIV587728:CIV587729 CSR587728:CSR587729 DCN587728:DCN587729 DMJ587728:DMJ587729 DWF587728:DWF587729 EGB587728:EGB587729 EPX587728:EPX587729 EZT587728:EZT587729 FJP587728:FJP587729 FTL587728:FTL587729 GDH587728:GDH587729 GND587728:GND587729 GWZ587728:GWZ587729 HGV587728:HGV587729 HQR587728:HQR587729 IAN587728:IAN587729 IKJ587728:IKJ587729 IUF587728:IUF587729 JEB587728:JEB587729 JNX587728:JNX587729 JXT587728:JXT587729 KHP587728:KHP587729 KRL587728:KRL587729 LBH587728:LBH587729 LLD587728:LLD587729 LUZ587728:LUZ587729 MEV587728:MEV587729 MOR587728:MOR587729 MYN587728:MYN587729 NIJ587728:NIJ587729 NSF587728:NSF587729 OCB587728:OCB587729 OLX587728:OLX587729 OVT587728:OVT587729 PFP587728:PFP587729 PPL587728:PPL587729 PZH587728:PZH587729 QJD587728:QJD587729 QSZ587728:QSZ587729 RCV587728:RCV587729 RMR587728:RMR587729 RWN587728:RWN587729 SGJ587728:SGJ587729 SQF587728:SQF587729 TAB587728:TAB587729 TJX587728:TJX587729 TTT587728:TTT587729 UDP587728:UDP587729 UNL587728:UNL587729 UXH587728:UXH587729 VHD587728:VHD587729 VQZ587728:VQZ587729 WAV587728:WAV587729 WKR587728:WKR587729 WUN587728:WUN587729 F653264:F653265 IB653264:IB653265 RX653264:RX653265 ABT653264:ABT653265 ALP653264:ALP653265 AVL653264:AVL653265 BFH653264:BFH653265 BPD653264:BPD653265 BYZ653264:BYZ653265 CIV653264:CIV653265 CSR653264:CSR653265 DCN653264:DCN653265 DMJ653264:DMJ653265 DWF653264:DWF653265 EGB653264:EGB653265 EPX653264:EPX653265 EZT653264:EZT653265 FJP653264:FJP653265 FTL653264:FTL653265 GDH653264:GDH653265 GND653264:GND653265 GWZ653264:GWZ653265 HGV653264:HGV653265 HQR653264:HQR653265 IAN653264:IAN653265 IKJ653264:IKJ653265 IUF653264:IUF653265 JEB653264:JEB653265 JNX653264:JNX653265 JXT653264:JXT653265 KHP653264:KHP653265 KRL653264:KRL653265 LBH653264:LBH653265 LLD653264:LLD653265 LUZ653264:LUZ653265 MEV653264:MEV653265 MOR653264:MOR653265 MYN653264:MYN653265 NIJ653264:NIJ653265 NSF653264:NSF653265 OCB653264:OCB653265 OLX653264:OLX653265 OVT653264:OVT653265 PFP653264:PFP653265 PPL653264:PPL653265 PZH653264:PZH653265 QJD653264:QJD653265 QSZ653264:QSZ653265 RCV653264:RCV653265 RMR653264:RMR653265 RWN653264:RWN653265 SGJ653264:SGJ653265 SQF653264:SQF653265 TAB653264:TAB653265 TJX653264:TJX653265 TTT653264:TTT653265 UDP653264:UDP653265 UNL653264:UNL653265 UXH653264:UXH653265 VHD653264:VHD653265 VQZ653264:VQZ653265 WAV653264:WAV653265 WKR653264:WKR653265 WUN653264:WUN653265 F718800:F718801 IB718800:IB718801 RX718800:RX718801 ABT718800:ABT718801 ALP718800:ALP718801 AVL718800:AVL718801 BFH718800:BFH718801 BPD718800:BPD718801 BYZ718800:BYZ718801 CIV718800:CIV718801 CSR718800:CSR718801 DCN718800:DCN718801 DMJ718800:DMJ718801 DWF718800:DWF718801 EGB718800:EGB718801 EPX718800:EPX718801 EZT718800:EZT718801 FJP718800:FJP718801 FTL718800:FTL718801 GDH718800:GDH718801 GND718800:GND718801 GWZ718800:GWZ718801 HGV718800:HGV718801 HQR718800:HQR718801 IAN718800:IAN718801 IKJ718800:IKJ718801 IUF718800:IUF718801 JEB718800:JEB718801 JNX718800:JNX718801 JXT718800:JXT718801 KHP718800:KHP718801 KRL718800:KRL718801 LBH718800:LBH718801 LLD718800:LLD718801 LUZ718800:LUZ718801 MEV718800:MEV718801 MOR718800:MOR718801 MYN718800:MYN718801 NIJ718800:NIJ718801 NSF718800:NSF718801 OCB718800:OCB718801 OLX718800:OLX718801 OVT718800:OVT718801 PFP718800:PFP718801 PPL718800:PPL718801 PZH718800:PZH718801 QJD718800:QJD718801 QSZ718800:QSZ718801 RCV718800:RCV718801 RMR718800:RMR718801 RWN718800:RWN718801 SGJ718800:SGJ718801 SQF718800:SQF718801 TAB718800:TAB718801 TJX718800:TJX718801 TTT718800:TTT718801 UDP718800:UDP718801 UNL718800:UNL718801 UXH718800:UXH718801 VHD718800:VHD718801 VQZ718800:VQZ718801 WAV718800:WAV718801 WKR718800:WKR718801 WUN718800:WUN718801 F784336:F784337 IB784336:IB784337 RX784336:RX784337 ABT784336:ABT784337 ALP784336:ALP784337 AVL784336:AVL784337 BFH784336:BFH784337 BPD784336:BPD784337 BYZ784336:BYZ784337 CIV784336:CIV784337 CSR784336:CSR784337 DCN784336:DCN784337 DMJ784336:DMJ784337 DWF784336:DWF784337 EGB784336:EGB784337 EPX784336:EPX784337 EZT784336:EZT784337 FJP784336:FJP784337 FTL784336:FTL784337 GDH784336:GDH784337 GND784336:GND784337 GWZ784336:GWZ784337 HGV784336:HGV784337 HQR784336:HQR784337 IAN784336:IAN784337 IKJ784336:IKJ784337 IUF784336:IUF784337 JEB784336:JEB784337 JNX784336:JNX784337 JXT784336:JXT784337 KHP784336:KHP784337 KRL784336:KRL784337 LBH784336:LBH784337 LLD784336:LLD784337 LUZ784336:LUZ784337 MEV784336:MEV784337 MOR784336:MOR784337 MYN784336:MYN784337 NIJ784336:NIJ784337 NSF784336:NSF784337 OCB784336:OCB784337 OLX784336:OLX784337 OVT784336:OVT784337 PFP784336:PFP784337 PPL784336:PPL784337 PZH784336:PZH784337 QJD784336:QJD784337 QSZ784336:QSZ784337 RCV784336:RCV784337 RMR784336:RMR784337 RWN784336:RWN784337 SGJ784336:SGJ784337 SQF784336:SQF784337 TAB784336:TAB784337 TJX784336:TJX784337 TTT784336:TTT784337 UDP784336:UDP784337 UNL784336:UNL784337 UXH784336:UXH784337 VHD784336:VHD784337 VQZ784336:VQZ784337 WAV784336:WAV784337 WKR784336:WKR784337 WUN784336:WUN784337 F849872:F849873 IB849872:IB849873 RX849872:RX849873 ABT849872:ABT849873 ALP849872:ALP849873 AVL849872:AVL849873 BFH849872:BFH849873 BPD849872:BPD849873 BYZ849872:BYZ849873 CIV849872:CIV849873 CSR849872:CSR849873 DCN849872:DCN849873 DMJ849872:DMJ849873 DWF849872:DWF849873 EGB849872:EGB849873 EPX849872:EPX849873 EZT849872:EZT849873 FJP849872:FJP849873 FTL849872:FTL849873 GDH849872:GDH849873 GND849872:GND849873 GWZ849872:GWZ849873 HGV849872:HGV849873 HQR849872:HQR849873 IAN849872:IAN849873 IKJ849872:IKJ849873 IUF849872:IUF849873 JEB849872:JEB849873 JNX849872:JNX849873 JXT849872:JXT849873 KHP849872:KHP849873 KRL849872:KRL849873 LBH849872:LBH849873 LLD849872:LLD849873 LUZ849872:LUZ849873 MEV849872:MEV849873 MOR849872:MOR849873 MYN849872:MYN849873 NIJ849872:NIJ849873 NSF849872:NSF849873 OCB849872:OCB849873 OLX849872:OLX849873 OVT849872:OVT849873 PFP849872:PFP849873 PPL849872:PPL849873 PZH849872:PZH849873 QJD849872:QJD849873 QSZ849872:QSZ849873 RCV849872:RCV849873 RMR849872:RMR849873 RWN849872:RWN849873 SGJ849872:SGJ849873 SQF849872:SQF849873 TAB849872:TAB849873 TJX849872:TJX849873 TTT849872:TTT849873 UDP849872:UDP849873 UNL849872:UNL849873 UXH849872:UXH849873 VHD849872:VHD849873 VQZ849872:VQZ849873 WAV849872:WAV849873 WKR849872:WKR849873 WUN849872:WUN849873 F915408:F915409 IB915408:IB915409 RX915408:RX915409 ABT915408:ABT915409 ALP915408:ALP915409 AVL915408:AVL915409 BFH915408:BFH915409 BPD915408:BPD915409 BYZ915408:BYZ915409 CIV915408:CIV915409 CSR915408:CSR915409 DCN915408:DCN915409 DMJ915408:DMJ915409 DWF915408:DWF915409 EGB915408:EGB915409 EPX915408:EPX915409 EZT915408:EZT915409 FJP915408:FJP915409 FTL915408:FTL915409 GDH915408:GDH915409 GND915408:GND915409 GWZ915408:GWZ915409 HGV915408:HGV915409 HQR915408:HQR915409 IAN915408:IAN915409 IKJ915408:IKJ915409 IUF915408:IUF915409 JEB915408:JEB915409 JNX915408:JNX915409 JXT915408:JXT915409 KHP915408:KHP915409 KRL915408:KRL915409 LBH915408:LBH915409 LLD915408:LLD915409 LUZ915408:LUZ915409 MEV915408:MEV915409 MOR915408:MOR915409 MYN915408:MYN915409 NIJ915408:NIJ915409 NSF915408:NSF915409 OCB915408:OCB915409 OLX915408:OLX915409 OVT915408:OVT915409 PFP915408:PFP915409 PPL915408:PPL915409 PZH915408:PZH915409 QJD915408:QJD915409 QSZ915408:QSZ915409 RCV915408:RCV915409 RMR915408:RMR915409 RWN915408:RWN915409 SGJ915408:SGJ915409 SQF915408:SQF915409 TAB915408:TAB915409 TJX915408:TJX915409 TTT915408:TTT915409 UDP915408:UDP915409 UNL915408:UNL915409 UXH915408:UXH915409 VHD915408:VHD915409 VQZ915408:VQZ915409 WAV915408:WAV915409 WKR915408:WKR915409 WUN915408:WUN915409 F980944:F980945 IB980944:IB980945 RX980944:RX980945 ABT980944:ABT980945 ALP980944:ALP980945 AVL980944:AVL980945 BFH980944:BFH980945 BPD980944:BPD980945 BYZ980944:BYZ980945 CIV980944:CIV980945 CSR980944:CSR980945 DCN980944:DCN980945 DMJ980944:DMJ980945 DWF980944:DWF980945 EGB980944:EGB980945 EPX980944:EPX980945 EZT980944:EZT980945 FJP980944:FJP980945 FTL980944:FTL980945 GDH980944:GDH980945 GND980944:GND980945 GWZ980944:GWZ980945 HGV980944:HGV980945 HQR980944:HQR980945 IAN980944:IAN980945 IKJ980944:IKJ980945 IUF980944:IUF980945 JEB980944:JEB980945 JNX980944:JNX980945 JXT980944:JXT980945 KHP980944:KHP980945 KRL980944:KRL980945 LBH980944:LBH980945 LLD980944:LLD980945 LUZ980944:LUZ980945 MEV980944:MEV980945 MOR980944:MOR980945 MYN980944:MYN980945 NIJ980944:NIJ980945 NSF980944:NSF980945 OCB980944:OCB980945 OLX980944:OLX980945 OVT980944:OVT980945 PFP980944:PFP980945 PPL980944:PPL980945 PZH980944:PZH980945 QJD980944:QJD980945 QSZ980944:QSZ980945 RCV980944:RCV980945 RMR980944:RMR980945 RWN980944:RWN980945 SGJ980944:SGJ980945 SQF980944:SQF980945 TAB980944:TAB980945 TJX980944:TJX980945 TTT980944:TTT980945 UDP980944:UDP980945 UNL980944:UNL980945 UXH980944:UXH980945 VHD980944:VHD980945 VQZ980944:VQZ980945 WAV980944:WAV980945 IB54:IB55 RX76:RX77 ABT76:ABT77 ALP76:ALP77 AVL76:AVL77 BFH76:BFH77 BPD76:BPD77 BYZ76:BYZ77 CIV76:CIV77 CSR76:CSR77 DCN76:DCN77 DMJ76:DMJ77 DWF76:DWF77 EGB76:EGB77 EPX76:EPX77 EZT76:EZT77 FJP76:FJP77 FTL76:FTL77 GDH76:GDH77 GND76:GND77 GWZ76:GWZ77 HGV76:HGV77 HQR76:HQR77 IAN76:IAN77 IKJ76:IKJ77 IUF76:IUF77 JEB76:JEB77 JNX76:JNX77 JXT76:JXT77 KHP76:KHP77 KRL76:KRL77 LBH76:LBH77 LLD76:LLD77 LUZ76:LUZ77 MEV76:MEV77 MOR76:MOR77 MYN76:MYN77 NIJ76:NIJ77 NSF76:NSF77 OCB76:OCB77 OLX76:OLX77 OVT76:OVT77 PFP76:PFP77 PPL76:PPL77 PZH76:PZH77 QJD76:QJD77 QSZ76:QSZ77 RCV76:RCV77 RMR76:RMR77 RWN76:RWN77 SGJ76:SGJ77 SQF76:SQF77 TAB76:TAB77 TJX76:TJX77 TTT76:TTT77 UDP76:UDP77 UNL76:UNL77 UXH76:UXH77 VHD76:VHD77 VQZ76:VQZ77 WAV76:WAV77 WKR76:WKR77 WUN76:WUN77 IB76:IB77 RX54:RX55 ABT54:ABT55 ALP54:ALP55 AVL54:AVL55 BFH54:BFH55 BPD54:BPD55 BYZ54:BYZ55 CIV54:CIV55 CSR54:CSR55 DCN54:DCN55 DMJ54:DMJ55 DWF54:DWF55 EGB54:EGB55 EPX54:EPX55 EZT54:EZT55 FJP54:FJP55 FTL54:FTL55 GDH54:GDH55 GND54:GND55 GWZ54:GWZ55 HGV54:HGV55 HQR54:HQR55 IAN54:IAN55 IKJ54:IKJ55 IUF54:IUF55 JEB54:JEB55 JNX54:JNX55 JXT54:JXT55 KHP54:KHP55 KRL54:KRL55 LBH54:LBH55 LLD54:LLD55 LUZ54:LUZ55 MEV54:MEV55 MOR54:MOR55 MYN54:MYN55 NIJ54:NIJ55 NSF54:NSF55 OCB54:OCB55 OLX54:OLX55 OVT54:OVT55 PFP54:PFP55 PPL54:PPL55 PZH54:PZH55 QJD54:QJD55 QSZ54:QSZ55 RCV54:RCV55 RMR54:RMR55 RWN54:RWN55 SGJ54:SGJ55 SQF54:SQF55 TAB54:TAB55 TJX54:TJX55 TTT54:TTT55 UDP54:UDP55 UNL54:UNL55 UXH54:UXH55 VHD54:VHD55 VQZ54:VQZ55 WAV54:WAV55 WKR54:WKR55 WUN54:WUN55 IB19:IB20 WUN19:WUN20 WKR19:WKR20 WAV19:WAV20 VQZ19:VQZ20 VHD19:VHD20 UXH19:UXH20 UNL19:UNL20 UDP19:UDP20 TTT19:TTT20 TJX19:TJX20 TAB19:TAB20 SQF19:SQF20 SGJ19:SGJ20 RWN19:RWN20 RMR19:RMR20 RCV19:RCV20 QSZ19:QSZ20 QJD19:QJD20 PZH19:PZH20 PPL19:PPL20 PFP19:PFP20 OVT19:OVT20 OLX19:OLX20 OCB19:OCB20 NSF19:NSF20 NIJ19:NIJ20 MYN19:MYN20 MOR19:MOR20 MEV19:MEV20 LUZ19:LUZ20 LLD19:LLD20 LBH19:LBH20 KRL19:KRL20 KHP19:KHP20 JXT19:JXT20 JNX19:JNX20 JEB19:JEB20 IUF19:IUF20 IKJ19:IKJ20 IAN19:IAN20 HQR19:HQR20 HGV19:HGV20 GWZ19:GWZ20 GND19:GND20 GDH19:GDH20 FTL19:FTL20 FJP19:FJP20 EZT19:EZT20 EPX19:EPX20 EGB19:EGB20 DWF19:DWF20 DMJ19:DMJ20 DCN19:DCN20 CSR19:CSR20 CIV19:CIV20 BYZ19:BYZ20 BPD19:BPD20 BFH19:BFH20 AVL19:AVL20 ALP19:ALP20 ABT19:ABT20 RX19:RX20 ABT22:ABT26 ALP22:ALP26 AVL22:AVL26 BFH22:BFH26 BPD22:BPD26 BYZ22:BYZ26 CIV22:CIV26 CSR22:CSR26 DCN22:DCN26 DMJ22:DMJ26 DWF22:DWF26 EGB22:EGB26 EPX22:EPX26 EZT22:EZT26 FJP22:FJP26 FTL22:FTL26 GDH22:GDH26 GND22:GND26 GWZ22:GWZ26 HGV22:HGV26 HQR22:HQR26 IAN22:IAN26 IKJ22:IKJ26 IUF22:IUF26 JEB22:JEB26 JNX22:JNX26 JXT22:JXT26 KHP22:KHP26 KRL22:KRL26 LBH22:LBH26 LLD22:LLD26 LUZ22:LUZ26 MEV22:MEV26 MOR22:MOR26 MYN22:MYN26 NIJ22:NIJ26 NSF22:NSF26 OCB22:OCB26 OLX22:OLX26 OVT22:OVT26 PFP22:PFP26 PPL22:PPL26 PZH22:PZH26 QJD22:QJD26 QSZ22:QSZ26 RCV22:RCV26 RMR22:RMR26 RWN22:RWN26 SGJ22:SGJ26 SQF22:SQF26 TAB22:TAB26 TJX22:TJX26 TTT22:TTT26 UDP22:UDP26 UNL22:UNL26 UXH22:UXH26 VHD22:VHD26 VQZ22:VQZ26 WAV22:WAV26 WKR22:WKR26 WUN22:WUN26 IB22:IB26 RX22:RX26" xr:uid="{00000000-0002-0000-0200-000004000000}">
      <formula1>"○,×"</formula1>
    </dataValidation>
    <dataValidation type="list" allowBlank="1" showInputMessage="1" showErrorMessage="1" sqref="WUN980942:WUN980943 IB17:IB18 RX17:RX18 ABT17:ABT18 ALP17:ALP18 AVL17:AVL18 BFH17:BFH18 BPD17:BPD18 BYZ17:BYZ18 CIV17:CIV18 CSR17:CSR18 DCN17:DCN18 DMJ17:DMJ18 DWF17:DWF18 EGB17:EGB18 EPX17:EPX18 EZT17:EZT18 FJP17:FJP18 FTL17:FTL18 GDH17:GDH18 GND17:GND18 GWZ17:GWZ18 HGV17:HGV18 HQR17:HQR18 IAN17:IAN18 IKJ17:IKJ18 IUF17:IUF18 JEB17:JEB18 JNX17:JNX18 JXT17:JXT18 KHP17:KHP18 KRL17:KRL18 LBH17:LBH18 LLD17:LLD18 LUZ17:LUZ18 MEV17:MEV18 MOR17:MOR18 MYN17:MYN18 NIJ17:NIJ18 NSF17:NSF18 OCB17:OCB18 OLX17:OLX18 OVT17:OVT18 PFP17:PFP18 PPL17:PPL18 PZH17:PZH18 QJD17:QJD18 QSZ17:QSZ18 RCV17:RCV18 RMR17:RMR18 RWN17:RWN18 SGJ17:SGJ18 SQF17:SQF18 TAB17:TAB18 TJX17:TJX18 TTT17:TTT18 UDP17:UDP18 UNL17:UNL18 UXH17:UXH18 VHD17:VHD18 VQZ17:VQZ18 WAV17:WAV18 WKR17:WKR18 WUN17:WUN18 F63438:F63439 IB63438:IB63439 RX63438:RX63439 ABT63438:ABT63439 ALP63438:ALP63439 AVL63438:AVL63439 BFH63438:BFH63439 BPD63438:BPD63439 BYZ63438:BYZ63439 CIV63438:CIV63439 CSR63438:CSR63439 DCN63438:DCN63439 DMJ63438:DMJ63439 DWF63438:DWF63439 EGB63438:EGB63439 EPX63438:EPX63439 EZT63438:EZT63439 FJP63438:FJP63439 FTL63438:FTL63439 GDH63438:GDH63439 GND63438:GND63439 GWZ63438:GWZ63439 HGV63438:HGV63439 HQR63438:HQR63439 IAN63438:IAN63439 IKJ63438:IKJ63439 IUF63438:IUF63439 JEB63438:JEB63439 JNX63438:JNX63439 JXT63438:JXT63439 KHP63438:KHP63439 KRL63438:KRL63439 LBH63438:LBH63439 LLD63438:LLD63439 LUZ63438:LUZ63439 MEV63438:MEV63439 MOR63438:MOR63439 MYN63438:MYN63439 NIJ63438:NIJ63439 NSF63438:NSF63439 OCB63438:OCB63439 OLX63438:OLX63439 OVT63438:OVT63439 PFP63438:PFP63439 PPL63438:PPL63439 PZH63438:PZH63439 QJD63438:QJD63439 QSZ63438:QSZ63439 RCV63438:RCV63439 RMR63438:RMR63439 RWN63438:RWN63439 SGJ63438:SGJ63439 SQF63438:SQF63439 TAB63438:TAB63439 TJX63438:TJX63439 TTT63438:TTT63439 UDP63438:UDP63439 UNL63438:UNL63439 UXH63438:UXH63439 VHD63438:VHD63439 VQZ63438:VQZ63439 WAV63438:WAV63439 WKR63438:WKR63439 WUN63438:WUN63439 F128974:F128975 IB128974:IB128975 RX128974:RX128975 ABT128974:ABT128975 ALP128974:ALP128975 AVL128974:AVL128975 BFH128974:BFH128975 BPD128974:BPD128975 BYZ128974:BYZ128975 CIV128974:CIV128975 CSR128974:CSR128975 DCN128974:DCN128975 DMJ128974:DMJ128975 DWF128974:DWF128975 EGB128974:EGB128975 EPX128974:EPX128975 EZT128974:EZT128975 FJP128974:FJP128975 FTL128974:FTL128975 GDH128974:GDH128975 GND128974:GND128975 GWZ128974:GWZ128975 HGV128974:HGV128975 HQR128974:HQR128975 IAN128974:IAN128975 IKJ128974:IKJ128975 IUF128974:IUF128975 JEB128974:JEB128975 JNX128974:JNX128975 JXT128974:JXT128975 KHP128974:KHP128975 KRL128974:KRL128975 LBH128974:LBH128975 LLD128974:LLD128975 LUZ128974:LUZ128975 MEV128974:MEV128975 MOR128974:MOR128975 MYN128974:MYN128975 NIJ128974:NIJ128975 NSF128974:NSF128975 OCB128974:OCB128975 OLX128974:OLX128975 OVT128974:OVT128975 PFP128974:PFP128975 PPL128974:PPL128975 PZH128974:PZH128975 QJD128974:QJD128975 QSZ128974:QSZ128975 RCV128974:RCV128975 RMR128974:RMR128975 RWN128974:RWN128975 SGJ128974:SGJ128975 SQF128974:SQF128975 TAB128974:TAB128975 TJX128974:TJX128975 TTT128974:TTT128975 UDP128974:UDP128975 UNL128974:UNL128975 UXH128974:UXH128975 VHD128974:VHD128975 VQZ128974:VQZ128975 WAV128974:WAV128975 WKR128974:WKR128975 WUN128974:WUN128975 F194510:F194511 IB194510:IB194511 RX194510:RX194511 ABT194510:ABT194511 ALP194510:ALP194511 AVL194510:AVL194511 BFH194510:BFH194511 BPD194510:BPD194511 BYZ194510:BYZ194511 CIV194510:CIV194511 CSR194510:CSR194511 DCN194510:DCN194511 DMJ194510:DMJ194511 DWF194510:DWF194511 EGB194510:EGB194511 EPX194510:EPX194511 EZT194510:EZT194511 FJP194510:FJP194511 FTL194510:FTL194511 GDH194510:GDH194511 GND194510:GND194511 GWZ194510:GWZ194511 HGV194510:HGV194511 HQR194510:HQR194511 IAN194510:IAN194511 IKJ194510:IKJ194511 IUF194510:IUF194511 JEB194510:JEB194511 JNX194510:JNX194511 JXT194510:JXT194511 KHP194510:KHP194511 KRL194510:KRL194511 LBH194510:LBH194511 LLD194510:LLD194511 LUZ194510:LUZ194511 MEV194510:MEV194511 MOR194510:MOR194511 MYN194510:MYN194511 NIJ194510:NIJ194511 NSF194510:NSF194511 OCB194510:OCB194511 OLX194510:OLX194511 OVT194510:OVT194511 PFP194510:PFP194511 PPL194510:PPL194511 PZH194510:PZH194511 QJD194510:QJD194511 QSZ194510:QSZ194511 RCV194510:RCV194511 RMR194510:RMR194511 RWN194510:RWN194511 SGJ194510:SGJ194511 SQF194510:SQF194511 TAB194510:TAB194511 TJX194510:TJX194511 TTT194510:TTT194511 UDP194510:UDP194511 UNL194510:UNL194511 UXH194510:UXH194511 VHD194510:VHD194511 VQZ194510:VQZ194511 WAV194510:WAV194511 WKR194510:WKR194511 WUN194510:WUN194511 F260046:F260047 IB260046:IB260047 RX260046:RX260047 ABT260046:ABT260047 ALP260046:ALP260047 AVL260046:AVL260047 BFH260046:BFH260047 BPD260046:BPD260047 BYZ260046:BYZ260047 CIV260046:CIV260047 CSR260046:CSR260047 DCN260046:DCN260047 DMJ260046:DMJ260047 DWF260046:DWF260047 EGB260046:EGB260047 EPX260046:EPX260047 EZT260046:EZT260047 FJP260046:FJP260047 FTL260046:FTL260047 GDH260046:GDH260047 GND260046:GND260047 GWZ260046:GWZ260047 HGV260046:HGV260047 HQR260046:HQR260047 IAN260046:IAN260047 IKJ260046:IKJ260047 IUF260046:IUF260047 JEB260046:JEB260047 JNX260046:JNX260047 JXT260046:JXT260047 KHP260046:KHP260047 KRL260046:KRL260047 LBH260046:LBH260047 LLD260046:LLD260047 LUZ260046:LUZ260047 MEV260046:MEV260047 MOR260046:MOR260047 MYN260046:MYN260047 NIJ260046:NIJ260047 NSF260046:NSF260047 OCB260046:OCB260047 OLX260046:OLX260047 OVT260046:OVT260047 PFP260046:PFP260047 PPL260046:PPL260047 PZH260046:PZH260047 QJD260046:QJD260047 QSZ260046:QSZ260047 RCV260046:RCV260047 RMR260046:RMR260047 RWN260046:RWN260047 SGJ260046:SGJ260047 SQF260046:SQF260047 TAB260046:TAB260047 TJX260046:TJX260047 TTT260046:TTT260047 UDP260046:UDP260047 UNL260046:UNL260047 UXH260046:UXH260047 VHD260046:VHD260047 VQZ260046:VQZ260047 WAV260046:WAV260047 WKR260046:WKR260047 WUN260046:WUN260047 F325582:F325583 IB325582:IB325583 RX325582:RX325583 ABT325582:ABT325583 ALP325582:ALP325583 AVL325582:AVL325583 BFH325582:BFH325583 BPD325582:BPD325583 BYZ325582:BYZ325583 CIV325582:CIV325583 CSR325582:CSR325583 DCN325582:DCN325583 DMJ325582:DMJ325583 DWF325582:DWF325583 EGB325582:EGB325583 EPX325582:EPX325583 EZT325582:EZT325583 FJP325582:FJP325583 FTL325582:FTL325583 GDH325582:GDH325583 GND325582:GND325583 GWZ325582:GWZ325583 HGV325582:HGV325583 HQR325582:HQR325583 IAN325582:IAN325583 IKJ325582:IKJ325583 IUF325582:IUF325583 JEB325582:JEB325583 JNX325582:JNX325583 JXT325582:JXT325583 KHP325582:KHP325583 KRL325582:KRL325583 LBH325582:LBH325583 LLD325582:LLD325583 LUZ325582:LUZ325583 MEV325582:MEV325583 MOR325582:MOR325583 MYN325582:MYN325583 NIJ325582:NIJ325583 NSF325582:NSF325583 OCB325582:OCB325583 OLX325582:OLX325583 OVT325582:OVT325583 PFP325582:PFP325583 PPL325582:PPL325583 PZH325582:PZH325583 QJD325582:QJD325583 QSZ325582:QSZ325583 RCV325582:RCV325583 RMR325582:RMR325583 RWN325582:RWN325583 SGJ325582:SGJ325583 SQF325582:SQF325583 TAB325582:TAB325583 TJX325582:TJX325583 TTT325582:TTT325583 UDP325582:UDP325583 UNL325582:UNL325583 UXH325582:UXH325583 VHD325582:VHD325583 VQZ325582:VQZ325583 WAV325582:WAV325583 WKR325582:WKR325583 WUN325582:WUN325583 F391118:F391119 IB391118:IB391119 RX391118:RX391119 ABT391118:ABT391119 ALP391118:ALP391119 AVL391118:AVL391119 BFH391118:BFH391119 BPD391118:BPD391119 BYZ391118:BYZ391119 CIV391118:CIV391119 CSR391118:CSR391119 DCN391118:DCN391119 DMJ391118:DMJ391119 DWF391118:DWF391119 EGB391118:EGB391119 EPX391118:EPX391119 EZT391118:EZT391119 FJP391118:FJP391119 FTL391118:FTL391119 GDH391118:GDH391119 GND391118:GND391119 GWZ391118:GWZ391119 HGV391118:HGV391119 HQR391118:HQR391119 IAN391118:IAN391119 IKJ391118:IKJ391119 IUF391118:IUF391119 JEB391118:JEB391119 JNX391118:JNX391119 JXT391118:JXT391119 KHP391118:KHP391119 KRL391118:KRL391119 LBH391118:LBH391119 LLD391118:LLD391119 LUZ391118:LUZ391119 MEV391118:MEV391119 MOR391118:MOR391119 MYN391118:MYN391119 NIJ391118:NIJ391119 NSF391118:NSF391119 OCB391118:OCB391119 OLX391118:OLX391119 OVT391118:OVT391119 PFP391118:PFP391119 PPL391118:PPL391119 PZH391118:PZH391119 QJD391118:QJD391119 QSZ391118:QSZ391119 RCV391118:RCV391119 RMR391118:RMR391119 RWN391118:RWN391119 SGJ391118:SGJ391119 SQF391118:SQF391119 TAB391118:TAB391119 TJX391118:TJX391119 TTT391118:TTT391119 UDP391118:UDP391119 UNL391118:UNL391119 UXH391118:UXH391119 VHD391118:VHD391119 VQZ391118:VQZ391119 WAV391118:WAV391119 WKR391118:WKR391119 WUN391118:WUN391119 F456654:F456655 IB456654:IB456655 RX456654:RX456655 ABT456654:ABT456655 ALP456654:ALP456655 AVL456654:AVL456655 BFH456654:BFH456655 BPD456654:BPD456655 BYZ456654:BYZ456655 CIV456654:CIV456655 CSR456654:CSR456655 DCN456654:DCN456655 DMJ456654:DMJ456655 DWF456654:DWF456655 EGB456654:EGB456655 EPX456654:EPX456655 EZT456654:EZT456655 FJP456654:FJP456655 FTL456654:FTL456655 GDH456654:GDH456655 GND456654:GND456655 GWZ456654:GWZ456655 HGV456654:HGV456655 HQR456654:HQR456655 IAN456654:IAN456655 IKJ456654:IKJ456655 IUF456654:IUF456655 JEB456654:JEB456655 JNX456654:JNX456655 JXT456654:JXT456655 KHP456654:KHP456655 KRL456654:KRL456655 LBH456654:LBH456655 LLD456654:LLD456655 LUZ456654:LUZ456655 MEV456654:MEV456655 MOR456654:MOR456655 MYN456654:MYN456655 NIJ456654:NIJ456655 NSF456654:NSF456655 OCB456654:OCB456655 OLX456654:OLX456655 OVT456654:OVT456655 PFP456654:PFP456655 PPL456654:PPL456655 PZH456654:PZH456655 QJD456654:QJD456655 QSZ456654:QSZ456655 RCV456654:RCV456655 RMR456654:RMR456655 RWN456654:RWN456655 SGJ456654:SGJ456655 SQF456654:SQF456655 TAB456654:TAB456655 TJX456654:TJX456655 TTT456654:TTT456655 UDP456654:UDP456655 UNL456654:UNL456655 UXH456654:UXH456655 VHD456654:VHD456655 VQZ456654:VQZ456655 WAV456654:WAV456655 WKR456654:WKR456655 WUN456654:WUN456655 F522190:F522191 IB522190:IB522191 RX522190:RX522191 ABT522190:ABT522191 ALP522190:ALP522191 AVL522190:AVL522191 BFH522190:BFH522191 BPD522190:BPD522191 BYZ522190:BYZ522191 CIV522190:CIV522191 CSR522190:CSR522191 DCN522190:DCN522191 DMJ522190:DMJ522191 DWF522190:DWF522191 EGB522190:EGB522191 EPX522190:EPX522191 EZT522190:EZT522191 FJP522190:FJP522191 FTL522190:FTL522191 GDH522190:GDH522191 GND522190:GND522191 GWZ522190:GWZ522191 HGV522190:HGV522191 HQR522190:HQR522191 IAN522190:IAN522191 IKJ522190:IKJ522191 IUF522190:IUF522191 JEB522190:JEB522191 JNX522190:JNX522191 JXT522190:JXT522191 KHP522190:KHP522191 KRL522190:KRL522191 LBH522190:LBH522191 LLD522190:LLD522191 LUZ522190:LUZ522191 MEV522190:MEV522191 MOR522190:MOR522191 MYN522190:MYN522191 NIJ522190:NIJ522191 NSF522190:NSF522191 OCB522190:OCB522191 OLX522190:OLX522191 OVT522190:OVT522191 PFP522190:PFP522191 PPL522190:PPL522191 PZH522190:PZH522191 QJD522190:QJD522191 QSZ522190:QSZ522191 RCV522190:RCV522191 RMR522190:RMR522191 RWN522190:RWN522191 SGJ522190:SGJ522191 SQF522190:SQF522191 TAB522190:TAB522191 TJX522190:TJX522191 TTT522190:TTT522191 UDP522190:UDP522191 UNL522190:UNL522191 UXH522190:UXH522191 VHD522190:VHD522191 VQZ522190:VQZ522191 WAV522190:WAV522191 WKR522190:WKR522191 WUN522190:WUN522191 F587726:F587727 IB587726:IB587727 RX587726:RX587727 ABT587726:ABT587727 ALP587726:ALP587727 AVL587726:AVL587727 BFH587726:BFH587727 BPD587726:BPD587727 BYZ587726:BYZ587727 CIV587726:CIV587727 CSR587726:CSR587727 DCN587726:DCN587727 DMJ587726:DMJ587727 DWF587726:DWF587727 EGB587726:EGB587727 EPX587726:EPX587727 EZT587726:EZT587727 FJP587726:FJP587727 FTL587726:FTL587727 GDH587726:GDH587727 GND587726:GND587727 GWZ587726:GWZ587727 HGV587726:HGV587727 HQR587726:HQR587727 IAN587726:IAN587727 IKJ587726:IKJ587727 IUF587726:IUF587727 JEB587726:JEB587727 JNX587726:JNX587727 JXT587726:JXT587727 KHP587726:KHP587727 KRL587726:KRL587727 LBH587726:LBH587727 LLD587726:LLD587727 LUZ587726:LUZ587727 MEV587726:MEV587727 MOR587726:MOR587727 MYN587726:MYN587727 NIJ587726:NIJ587727 NSF587726:NSF587727 OCB587726:OCB587727 OLX587726:OLX587727 OVT587726:OVT587727 PFP587726:PFP587727 PPL587726:PPL587727 PZH587726:PZH587727 QJD587726:QJD587727 QSZ587726:QSZ587727 RCV587726:RCV587727 RMR587726:RMR587727 RWN587726:RWN587727 SGJ587726:SGJ587727 SQF587726:SQF587727 TAB587726:TAB587727 TJX587726:TJX587727 TTT587726:TTT587727 UDP587726:UDP587727 UNL587726:UNL587727 UXH587726:UXH587727 VHD587726:VHD587727 VQZ587726:VQZ587727 WAV587726:WAV587727 WKR587726:WKR587727 WUN587726:WUN587727 F653262:F653263 IB653262:IB653263 RX653262:RX653263 ABT653262:ABT653263 ALP653262:ALP653263 AVL653262:AVL653263 BFH653262:BFH653263 BPD653262:BPD653263 BYZ653262:BYZ653263 CIV653262:CIV653263 CSR653262:CSR653263 DCN653262:DCN653263 DMJ653262:DMJ653263 DWF653262:DWF653263 EGB653262:EGB653263 EPX653262:EPX653263 EZT653262:EZT653263 FJP653262:FJP653263 FTL653262:FTL653263 GDH653262:GDH653263 GND653262:GND653263 GWZ653262:GWZ653263 HGV653262:HGV653263 HQR653262:HQR653263 IAN653262:IAN653263 IKJ653262:IKJ653263 IUF653262:IUF653263 JEB653262:JEB653263 JNX653262:JNX653263 JXT653262:JXT653263 KHP653262:KHP653263 KRL653262:KRL653263 LBH653262:LBH653263 LLD653262:LLD653263 LUZ653262:LUZ653263 MEV653262:MEV653263 MOR653262:MOR653263 MYN653262:MYN653263 NIJ653262:NIJ653263 NSF653262:NSF653263 OCB653262:OCB653263 OLX653262:OLX653263 OVT653262:OVT653263 PFP653262:PFP653263 PPL653262:PPL653263 PZH653262:PZH653263 QJD653262:QJD653263 QSZ653262:QSZ653263 RCV653262:RCV653263 RMR653262:RMR653263 RWN653262:RWN653263 SGJ653262:SGJ653263 SQF653262:SQF653263 TAB653262:TAB653263 TJX653262:TJX653263 TTT653262:TTT653263 UDP653262:UDP653263 UNL653262:UNL653263 UXH653262:UXH653263 VHD653262:VHD653263 VQZ653262:VQZ653263 WAV653262:WAV653263 WKR653262:WKR653263 WUN653262:WUN653263 F718798:F718799 IB718798:IB718799 RX718798:RX718799 ABT718798:ABT718799 ALP718798:ALP718799 AVL718798:AVL718799 BFH718798:BFH718799 BPD718798:BPD718799 BYZ718798:BYZ718799 CIV718798:CIV718799 CSR718798:CSR718799 DCN718798:DCN718799 DMJ718798:DMJ718799 DWF718798:DWF718799 EGB718798:EGB718799 EPX718798:EPX718799 EZT718798:EZT718799 FJP718798:FJP718799 FTL718798:FTL718799 GDH718798:GDH718799 GND718798:GND718799 GWZ718798:GWZ718799 HGV718798:HGV718799 HQR718798:HQR718799 IAN718798:IAN718799 IKJ718798:IKJ718799 IUF718798:IUF718799 JEB718798:JEB718799 JNX718798:JNX718799 JXT718798:JXT718799 KHP718798:KHP718799 KRL718798:KRL718799 LBH718798:LBH718799 LLD718798:LLD718799 LUZ718798:LUZ718799 MEV718798:MEV718799 MOR718798:MOR718799 MYN718798:MYN718799 NIJ718798:NIJ718799 NSF718798:NSF718799 OCB718798:OCB718799 OLX718798:OLX718799 OVT718798:OVT718799 PFP718798:PFP718799 PPL718798:PPL718799 PZH718798:PZH718799 QJD718798:QJD718799 QSZ718798:QSZ718799 RCV718798:RCV718799 RMR718798:RMR718799 RWN718798:RWN718799 SGJ718798:SGJ718799 SQF718798:SQF718799 TAB718798:TAB718799 TJX718798:TJX718799 TTT718798:TTT718799 UDP718798:UDP718799 UNL718798:UNL718799 UXH718798:UXH718799 VHD718798:VHD718799 VQZ718798:VQZ718799 WAV718798:WAV718799 WKR718798:WKR718799 WUN718798:WUN718799 F784334:F784335 IB784334:IB784335 RX784334:RX784335 ABT784334:ABT784335 ALP784334:ALP784335 AVL784334:AVL784335 BFH784334:BFH784335 BPD784334:BPD784335 BYZ784334:BYZ784335 CIV784334:CIV784335 CSR784334:CSR784335 DCN784334:DCN784335 DMJ784334:DMJ784335 DWF784334:DWF784335 EGB784334:EGB784335 EPX784334:EPX784335 EZT784334:EZT784335 FJP784334:FJP784335 FTL784334:FTL784335 GDH784334:GDH784335 GND784334:GND784335 GWZ784334:GWZ784335 HGV784334:HGV784335 HQR784334:HQR784335 IAN784334:IAN784335 IKJ784334:IKJ784335 IUF784334:IUF784335 JEB784334:JEB784335 JNX784334:JNX784335 JXT784334:JXT784335 KHP784334:KHP784335 KRL784334:KRL784335 LBH784334:LBH784335 LLD784334:LLD784335 LUZ784334:LUZ784335 MEV784334:MEV784335 MOR784334:MOR784335 MYN784334:MYN784335 NIJ784334:NIJ784335 NSF784334:NSF784335 OCB784334:OCB784335 OLX784334:OLX784335 OVT784334:OVT784335 PFP784334:PFP784335 PPL784334:PPL784335 PZH784334:PZH784335 QJD784334:QJD784335 QSZ784334:QSZ784335 RCV784334:RCV784335 RMR784334:RMR784335 RWN784334:RWN784335 SGJ784334:SGJ784335 SQF784334:SQF784335 TAB784334:TAB784335 TJX784334:TJX784335 TTT784334:TTT784335 UDP784334:UDP784335 UNL784334:UNL784335 UXH784334:UXH784335 VHD784334:VHD784335 VQZ784334:VQZ784335 WAV784334:WAV784335 WKR784334:WKR784335 WUN784334:WUN784335 F849870:F849871 IB849870:IB849871 RX849870:RX849871 ABT849870:ABT849871 ALP849870:ALP849871 AVL849870:AVL849871 BFH849870:BFH849871 BPD849870:BPD849871 BYZ849870:BYZ849871 CIV849870:CIV849871 CSR849870:CSR849871 DCN849870:DCN849871 DMJ849870:DMJ849871 DWF849870:DWF849871 EGB849870:EGB849871 EPX849870:EPX849871 EZT849870:EZT849871 FJP849870:FJP849871 FTL849870:FTL849871 GDH849870:GDH849871 GND849870:GND849871 GWZ849870:GWZ849871 HGV849870:HGV849871 HQR849870:HQR849871 IAN849870:IAN849871 IKJ849870:IKJ849871 IUF849870:IUF849871 JEB849870:JEB849871 JNX849870:JNX849871 JXT849870:JXT849871 KHP849870:KHP849871 KRL849870:KRL849871 LBH849870:LBH849871 LLD849870:LLD849871 LUZ849870:LUZ849871 MEV849870:MEV849871 MOR849870:MOR849871 MYN849870:MYN849871 NIJ849870:NIJ849871 NSF849870:NSF849871 OCB849870:OCB849871 OLX849870:OLX849871 OVT849870:OVT849871 PFP849870:PFP849871 PPL849870:PPL849871 PZH849870:PZH849871 QJD849870:QJD849871 QSZ849870:QSZ849871 RCV849870:RCV849871 RMR849870:RMR849871 RWN849870:RWN849871 SGJ849870:SGJ849871 SQF849870:SQF849871 TAB849870:TAB849871 TJX849870:TJX849871 TTT849870:TTT849871 UDP849870:UDP849871 UNL849870:UNL849871 UXH849870:UXH849871 VHD849870:VHD849871 VQZ849870:VQZ849871 WAV849870:WAV849871 WKR849870:WKR849871 WUN849870:WUN849871 F915406:F915407 IB915406:IB915407 RX915406:RX915407 ABT915406:ABT915407 ALP915406:ALP915407 AVL915406:AVL915407 BFH915406:BFH915407 BPD915406:BPD915407 BYZ915406:BYZ915407 CIV915406:CIV915407 CSR915406:CSR915407 DCN915406:DCN915407 DMJ915406:DMJ915407 DWF915406:DWF915407 EGB915406:EGB915407 EPX915406:EPX915407 EZT915406:EZT915407 FJP915406:FJP915407 FTL915406:FTL915407 GDH915406:GDH915407 GND915406:GND915407 GWZ915406:GWZ915407 HGV915406:HGV915407 HQR915406:HQR915407 IAN915406:IAN915407 IKJ915406:IKJ915407 IUF915406:IUF915407 JEB915406:JEB915407 JNX915406:JNX915407 JXT915406:JXT915407 KHP915406:KHP915407 KRL915406:KRL915407 LBH915406:LBH915407 LLD915406:LLD915407 LUZ915406:LUZ915407 MEV915406:MEV915407 MOR915406:MOR915407 MYN915406:MYN915407 NIJ915406:NIJ915407 NSF915406:NSF915407 OCB915406:OCB915407 OLX915406:OLX915407 OVT915406:OVT915407 PFP915406:PFP915407 PPL915406:PPL915407 PZH915406:PZH915407 QJD915406:QJD915407 QSZ915406:QSZ915407 RCV915406:RCV915407 RMR915406:RMR915407 RWN915406:RWN915407 SGJ915406:SGJ915407 SQF915406:SQF915407 TAB915406:TAB915407 TJX915406:TJX915407 TTT915406:TTT915407 UDP915406:UDP915407 UNL915406:UNL915407 UXH915406:UXH915407 VHD915406:VHD915407 VQZ915406:VQZ915407 WAV915406:WAV915407 WKR915406:WKR915407 WUN915406:WUN915407 F980942:F980943 IB980942:IB980943 RX980942:RX980943 ABT980942:ABT980943 ALP980942:ALP980943 AVL980942:AVL980943 BFH980942:BFH980943 BPD980942:BPD980943 BYZ980942:BYZ980943 CIV980942:CIV980943 CSR980942:CSR980943 DCN980942:DCN980943 DMJ980942:DMJ980943 DWF980942:DWF980943 EGB980942:EGB980943 EPX980942:EPX980943 EZT980942:EZT980943 FJP980942:FJP980943 FTL980942:FTL980943 GDH980942:GDH980943 GND980942:GND980943 GWZ980942:GWZ980943 HGV980942:HGV980943 HQR980942:HQR980943 IAN980942:IAN980943 IKJ980942:IKJ980943 IUF980942:IUF980943 JEB980942:JEB980943 JNX980942:JNX980943 JXT980942:JXT980943 KHP980942:KHP980943 KRL980942:KRL980943 LBH980942:LBH980943 LLD980942:LLD980943 LUZ980942:LUZ980943 MEV980942:MEV980943 MOR980942:MOR980943 MYN980942:MYN980943 NIJ980942:NIJ980943 NSF980942:NSF980943 OCB980942:OCB980943 OLX980942:OLX980943 OVT980942:OVT980943 PFP980942:PFP980943 PPL980942:PPL980943 PZH980942:PZH980943 QJD980942:QJD980943 QSZ980942:QSZ980943 RCV980942:RCV980943 RMR980942:RMR980943 RWN980942:RWN980943 SGJ980942:SGJ980943 SQF980942:SQF980943 TAB980942:TAB980943 TJX980942:TJX980943 TTT980942:TTT980943 UDP980942:UDP980943 UNL980942:UNL980943 UXH980942:UXH980943 VHD980942:VHD980943 VQZ980942:VQZ980943 WAV980942:WAV980943 WKR980942:WKR980943" xr:uid="{00000000-0002-0000-0200-000005000000}">
      <formula1>"有り,無し"</formula1>
    </dataValidation>
    <dataValidation type="list" allowBlank="1" showInputMessage="1" showErrorMessage="1" sqref="H60:N60" xr:uid="{00000000-0002-0000-0200-000006000000}">
      <formula1>#REF!</formula1>
    </dataValidation>
    <dataValidation type="list" allowBlank="1" showInputMessage="1" showErrorMessage="1" sqref="H26:N26" xr:uid="{00000000-0002-0000-0200-000007000000}">
      <formula1>"007停車場建物,008変電所建物,009車庫、工場建物,010倉庫建物,011詰所建物,012事務所建物,013社宅及び寮建物,雑建物"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65" orientation="landscape" cellComments="asDisplayed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AP511"/>
  <sheetViews>
    <sheetView view="pageBreakPreview" topLeftCell="A28" zoomScale="85" zoomScaleNormal="100" zoomScaleSheetLayoutView="85" workbookViewId="0">
      <selection activeCell="I19" sqref="I19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7" width="14.33203125" style="1279" customWidth="1"/>
    <col min="18" max="259" width="9" style="1278"/>
    <col min="260" max="260" width="2.5" style="1278" customWidth="1"/>
    <col min="261" max="261" width="3.5" style="1278" customWidth="1"/>
    <col min="262" max="262" width="21.5" style="1278" customWidth="1"/>
    <col min="263" max="263" width="4" style="1278" customWidth="1"/>
    <col min="264" max="264" width="5.33203125" style="1278" customWidth="1"/>
    <col min="265" max="265" width="15.33203125" style="1278" customWidth="1"/>
    <col min="266" max="273" width="14.33203125" style="1278" customWidth="1"/>
    <col min="274" max="515" width="9" style="1278"/>
    <col min="516" max="516" width="2.5" style="1278" customWidth="1"/>
    <col min="517" max="517" width="3.5" style="1278" customWidth="1"/>
    <col min="518" max="518" width="21.5" style="1278" customWidth="1"/>
    <col min="519" max="519" width="4" style="1278" customWidth="1"/>
    <col min="520" max="520" width="5.33203125" style="1278" customWidth="1"/>
    <col min="521" max="521" width="15.33203125" style="1278" customWidth="1"/>
    <col min="522" max="529" width="14.33203125" style="1278" customWidth="1"/>
    <col min="530" max="771" width="9" style="1278"/>
    <col min="772" max="772" width="2.5" style="1278" customWidth="1"/>
    <col min="773" max="773" width="3.5" style="1278" customWidth="1"/>
    <col min="774" max="774" width="21.5" style="1278" customWidth="1"/>
    <col min="775" max="775" width="4" style="1278" customWidth="1"/>
    <col min="776" max="776" width="5.33203125" style="1278" customWidth="1"/>
    <col min="777" max="777" width="15.33203125" style="1278" customWidth="1"/>
    <col min="778" max="785" width="14.33203125" style="1278" customWidth="1"/>
    <col min="786" max="1027" width="9" style="1278"/>
    <col min="1028" max="1028" width="2.5" style="1278" customWidth="1"/>
    <col min="1029" max="1029" width="3.5" style="1278" customWidth="1"/>
    <col min="1030" max="1030" width="21.5" style="1278" customWidth="1"/>
    <col min="1031" max="1031" width="4" style="1278" customWidth="1"/>
    <col min="1032" max="1032" width="5.33203125" style="1278" customWidth="1"/>
    <col min="1033" max="1033" width="15.33203125" style="1278" customWidth="1"/>
    <col min="1034" max="1041" width="14.33203125" style="1278" customWidth="1"/>
    <col min="1042" max="1283" width="9" style="1278"/>
    <col min="1284" max="1284" width="2.5" style="1278" customWidth="1"/>
    <col min="1285" max="1285" width="3.5" style="1278" customWidth="1"/>
    <col min="1286" max="1286" width="21.5" style="1278" customWidth="1"/>
    <col min="1287" max="1287" width="4" style="1278" customWidth="1"/>
    <col min="1288" max="1288" width="5.33203125" style="1278" customWidth="1"/>
    <col min="1289" max="1289" width="15.33203125" style="1278" customWidth="1"/>
    <col min="1290" max="1297" width="14.33203125" style="1278" customWidth="1"/>
    <col min="1298" max="1539" width="9" style="1278"/>
    <col min="1540" max="1540" width="2.5" style="1278" customWidth="1"/>
    <col min="1541" max="1541" width="3.5" style="1278" customWidth="1"/>
    <col min="1542" max="1542" width="21.5" style="1278" customWidth="1"/>
    <col min="1543" max="1543" width="4" style="1278" customWidth="1"/>
    <col min="1544" max="1544" width="5.33203125" style="1278" customWidth="1"/>
    <col min="1545" max="1545" width="15.33203125" style="1278" customWidth="1"/>
    <col min="1546" max="1553" width="14.33203125" style="1278" customWidth="1"/>
    <col min="1554" max="1795" width="9" style="1278"/>
    <col min="1796" max="1796" width="2.5" style="1278" customWidth="1"/>
    <col min="1797" max="1797" width="3.5" style="1278" customWidth="1"/>
    <col min="1798" max="1798" width="21.5" style="1278" customWidth="1"/>
    <col min="1799" max="1799" width="4" style="1278" customWidth="1"/>
    <col min="1800" max="1800" width="5.33203125" style="1278" customWidth="1"/>
    <col min="1801" max="1801" width="15.33203125" style="1278" customWidth="1"/>
    <col min="1802" max="1809" width="14.33203125" style="1278" customWidth="1"/>
    <col min="1810" max="2051" width="9" style="1278"/>
    <col min="2052" max="2052" width="2.5" style="1278" customWidth="1"/>
    <col min="2053" max="2053" width="3.5" style="1278" customWidth="1"/>
    <col min="2054" max="2054" width="21.5" style="1278" customWidth="1"/>
    <col min="2055" max="2055" width="4" style="1278" customWidth="1"/>
    <col min="2056" max="2056" width="5.33203125" style="1278" customWidth="1"/>
    <col min="2057" max="2057" width="15.33203125" style="1278" customWidth="1"/>
    <col min="2058" max="2065" width="14.33203125" style="1278" customWidth="1"/>
    <col min="2066" max="2307" width="9" style="1278"/>
    <col min="2308" max="2308" width="2.5" style="1278" customWidth="1"/>
    <col min="2309" max="2309" width="3.5" style="1278" customWidth="1"/>
    <col min="2310" max="2310" width="21.5" style="1278" customWidth="1"/>
    <col min="2311" max="2311" width="4" style="1278" customWidth="1"/>
    <col min="2312" max="2312" width="5.33203125" style="1278" customWidth="1"/>
    <col min="2313" max="2313" width="15.33203125" style="1278" customWidth="1"/>
    <col min="2314" max="2321" width="14.33203125" style="1278" customWidth="1"/>
    <col min="2322" max="2563" width="9" style="1278"/>
    <col min="2564" max="2564" width="2.5" style="1278" customWidth="1"/>
    <col min="2565" max="2565" width="3.5" style="1278" customWidth="1"/>
    <col min="2566" max="2566" width="21.5" style="1278" customWidth="1"/>
    <col min="2567" max="2567" width="4" style="1278" customWidth="1"/>
    <col min="2568" max="2568" width="5.33203125" style="1278" customWidth="1"/>
    <col min="2569" max="2569" width="15.33203125" style="1278" customWidth="1"/>
    <col min="2570" max="2577" width="14.33203125" style="1278" customWidth="1"/>
    <col min="2578" max="2819" width="9" style="1278"/>
    <col min="2820" max="2820" width="2.5" style="1278" customWidth="1"/>
    <col min="2821" max="2821" width="3.5" style="1278" customWidth="1"/>
    <col min="2822" max="2822" width="21.5" style="1278" customWidth="1"/>
    <col min="2823" max="2823" width="4" style="1278" customWidth="1"/>
    <col min="2824" max="2824" width="5.33203125" style="1278" customWidth="1"/>
    <col min="2825" max="2825" width="15.33203125" style="1278" customWidth="1"/>
    <col min="2826" max="2833" width="14.33203125" style="1278" customWidth="1"/>
    <col min="2834" max="3075" width="9" style="1278"/>
    <col min="3076" max="3076" width="2.5" style="1278" customWidth="1"/>
    <col min="3077" max="3077" width="3.5" style="1278" customWidth="1"/>
    <col min="3078" max="3078" width="21.5" style="1278" customWidth="1"/>
    <col min="3079" max="3079" width="4" style="1278" customWidth="1"/>
    <col min="3080" max="3080" width="5.33203125" style="1278" customWidth="1"/>
    <col min="3081" max="3081" width="15.33203125" style="1278" customWidth="1"/>
    <col min="3082" max="3089" width="14.33203125" style="1278" customWidth="1"/>
    <col min="3090" max="3331" width="9" style="1278"/>
    <col min="3332" max="3332" width="2.5" style="1278" customWidth="1"/>
    <col min="3333" max="3333" width="3.5" style="1278" customWidth="1"/>
    <col min="3334" max="3334" width="21.5" style="1278" customWidth="1"/>
    <col min="3335" max="3335" width="4" style="1278" customWidth="1"/>
    <col min="3336" max="3336" width="5.33203125" style="1278" customWidth="1"/>
    <col min="3337" max="3337" width="15.33203125" style="1278" customWidth="1"/>
    <col min="3338" max="3345" width="14.33203125" style="1278" customWidth="1"/>
    <col min="3346" max="3587" width="9" style="1278"/>
    <col min="3588" max="3588" width="2.5" style="1278" customWidth="1"/>
    <col min="3589" max="3589" width="3.5" style="1278" customWidth="1"/>
    <col min="3590" max="3590" width="21.5" style="1278" customWidth="1"/>
    <col min="3591" max="3591" width="4" style="1278" customWidth="1"/>
    <col min="3592" max="3592" width="5.33203125" style="1278" customWidth="1"/>
    <col min="3593" max="3593" width="15.33203125" style="1278" customWidth="1"/>
    <col min="3594" max="3601" width="14.33203125" style="1278" customWidth="1"/>
    <col min="3602" max="3843" width="9" style="1278"/>
    <col min="3844" max="3844" width="2.5" style="1278" customWidth="1"/>
    <col min="3845" max="3845" width="3.5" style="1278" customWidth="1"/>
    <col min="3846" max="3846" width="21.5" style="1278" customWidth="1"/>
    <col min="3847" max="3847" width="4" style="1278" customWidth="1"/>
    <col min="3848" max="3848" width="5.33203125" style="1278" customWidth="1"/>
    <col min="3849" max="3849" width="15.33203125" style="1278" customWidth="1"/>
    <col min="3850" max="3857" width="14.33203125" style="1278" customWidth="1"/>
    <col min="3858" max="4099" width="9" style="1278"/>
    <col min="4100" max="4100" width="2.5" style="1278" customWidth="1"/>
    <col min="4101" max="4101" width="3.5" style="1278" customWidth="1"/>
    <col min="4102" max="4102" width="21.5" style="1278" customWidth="1"/>
    <col min="4103" max="4103" width="4" style="1278" customWidth="1"/>
    <col min="4104" max="4104" width="5.33203125" style="1278" customWidth="1"/>
    <col min="4105" max="4105" width="15.33203125" style="1278" customWidth="1"/>
    <col min="4106" max="4113" width="14.33203125" style="1278" customWidth="1"/>
    <col min="4114" max="4355" width="9" style="1278"/>
    <col min="4356" max="4356" width="2.5" style="1278" customWidth="1"/>
    <col min="4357" max="4357" width="3.5" style="1278" customWidth="1"/>
    <col min="4358" max="4358" width="21.5" style="1278" customWidth="1"/>
    <col min="4359" max="4359" width="4" style="1278" customWidth="1"/>
    <col min="4360" max="4360" width="5.33203125" style="1278" customWidth="1"/>
    <col min="4361" max="4361" width="15.33203125" style="1278" customWidth="1"/>
    <col min="4362" max="4369" width="14.33203125" style="1278" customWidth="1"/>
    <col min="4370" max="4611" width="9" style="1278"/>
    <col min="4612" max="4612" width="2.5" style="1278" customWidth="1"/>
    <col min="4613" max="4613" width="3.5" style="1278" customWidth="1"/>
    <col min="4614" max="4614" width="21.5" style="1278" customWidth="1"/>
    <col min="4615" max="4615" width="4" style="1278" customWidth="1"/>
    <col min="4616" max="4616" width="5.33203125" style="1278" customWidth="1"/>
    <col min="4617" max="4617" width="15.33203125" style="1278" customWidth="1"/>
    <col min="4618" max="4625" width="14.33203125" style="1278" customWidth="1"/>
    <col min="4626" max="4867" width="9" style="1278"/>
    <col min="4868" max="4868" width="2.5" style="1278" customWidth="1"/>
    <col min="4869" max="4869" width="3.5" style="1278" customWidth="1"/>
    <col min="4870" max="4870" width="21.5" style="1278" customWidth="1"/>
    <col min="4871" max="4871" width="4" style="1278" customWidth="1"/>
    <col min="4872" max="4872" width="5.33203125" style="1278" customWidth="1"/>
    <col min="4873" max="4873" width="15.33203125" style="1278" customWidth="1"/>
    <col min="4874" max="4881" width="14.33203125" style="1278" customWidth="1"/>
    <col min="4882" max="5123" width="9" style="1278"/>
    <col min="5124" max="5124" width="2.5" style="1278" customWidth="1"/>
    <col min="5125" max="5125" width="3.5" style="1278" customWidth="1"/>
    <col min="5126" max="5126" width="21.5" style="1278" customWidth="1"/>
    <col min="5127" max="5127" width="4" style="1278" customWidth="1"/>
    <col min="5128" max="5128" width="5.33203125" style="1278" customWidth="1"/>
    <col min="5129" max="5129" width="15.33203125" style="1278" customWidth="1"/>
    <col min="5130" max="5137" width="14.33203125" style="1278" customWidth="1"/>
    <col min="5138" max="5379" width="9" style="1278"/>
    <col min="5380" max="5380" width="2.5" style="1278" customWidth="1"/>
    <col min="5381" max="5381" width="3.5" style="1278" customWidth="1"/>
    <col min="5382" max="5382" width="21.5" style="1278" customWidth="1"/>
    <col min="5383" max="5383" width="4" style="1278" customWidth="1"/>
    <col min="5384" max="5384" width="5.33203125" style="1278" customWidth="1"/>
    <col min="5385" max="5385" width="15.33203125" style="1278" customWidth="1"/>
    <col min="5386" max="5393" width="14.33203125" style="1278" customWidth="1"/>
    <col min="5394" max="5635" width="9" style="1278"/>
    <col min="5636" max="5636" width="2.5" style="1278" customWidth="1"/>
    <col min="5637" max="5637" width="3.5" style="1278" customWidth="1"/>
    <col min="5638" max="5638" width="21.5" style="1278" customWidth="1"/>
    <col min="5639" max="5639" width="4" style="1278" customWidth="1"/>
    <col min="5640" max="5640" width="5.33203125" style="1278" customWidth="1"/>
    <col min="5641" max="5641" width="15.33203125" style="1278" customWidth="1"/>
    <col min="5642" max="5649" width="14.33203125" style="1278" customWidth="1"/>
    <col min="5650" max="5891" width="9" style="1278"/>
    <col min="5892" max="5892" width="2.5" style="1278" customWidth="1"/>
    <col min="5893" max="5893" width="3.5" style="1278" customWidth="1"/>
    <col min="5894" max="5894" width="21.5" style="1278" customWidth="1"/>
    <col min="5895" max="5895" width="4" style="1278" customWidth="1"/>
    <col min="5896" max="5896" width="5.33203125" style="1278" customWidth="1"/>
    <col min="5897" max="5897" width="15.33203125" style="1278" customWidth="1"/>
    <col min="5898" max="5905" width="14.33203125" style="1278" customWidth="1"/>
    <col min="5906" max="6147" width="9" style="1278"/>
    <col min="6148" max="6148" width="2.5" style="1278" customWidth="1"/>
    <col min="6149" max="6149" width="3.5" style="1278" customWidth="1"/>
    <col min="6150" max="6150" width="21.5" style="1278" customWidth="1"/>
    <col min="6151" max="6151" width="4" style="1278" customWidth="1"/>
    <col min="6152" max="6152" width="5.33203125" style="1278" customWidth="1"/>
    <col min="6153" max="6153" width="15.33203125" style="1278" customWidth="1"/>
    <col min="6154" max="6161" width="14.33203125" style="1278" customWidth="1"/>
    <col min="6162" max="6403" width="9" style="1278"/>
    <col min="6404" max="6404" width="2.5" style="1278" customWidth="1"/>
    <col min="6405" max="6405" width="3.5" style="1278" customWidth="1"/>
    <col min="6406" max="6406" width="21.5" style="1278" customWidth="1"/>
    <col min="6407" max="6407" width="4" style="1278" customWidth="1"/>
    <col min="6408" max="6408" width="5.33203125" style="1278" customWidth="1"/>
    <col min="6409" max="6409" width="15.33203125" style="1278" customWidth="1"/>
    <col min="6410" max="6417" width="14.33203125" style="1278" customWidth="1"/>
    <col min="6418" max="6659" width="9" style="1278"/>
    <col min="6660" max="6660" width="2.5" style="1278" customWidth="1"/>
    <col min="6661" max="6661" width="3.5" style="1278" customWidth="1"/>
    <col min="6662" max="6662" width="21.5" style="1278" customWidth="1"/>
    <col min="6663" max="6663" width="4" style="1278" customWidth="1"/>
    <col min="6664" max="6664" width="5.33203125" style="1278" customWidth="1"/>
    <col min="6665" max="6665" width="15.33203125" style="1278" customWidth="1"/>
    <col min="6666" max="6673" width="14.33203125" style="1278" customWidth="1"/>
    <col min="6674" max="6915" width="9" style="1278"/>
    <col min="6916" max="6916" width="2.5" style="1278" customWidth="1"/>
    <col min="6917" max="6917" width="3.5" style="1278" customWidth="1"/>
    <col min="6918" max="6918" width="21.5" style="1278" customWidth="1"/>
    <col min="6919" max="6919" width="4" style="1278" customWidth="1"/>
    <col min="6920" max="6920" width="5.33203125" style="1278" customWidth="1"/>
    <col min="6921" max="6921" width="15.33203125" style="1278" customWidth="1"/>
    <col min="6922" max="6929" width="14.33203125" style="1278" customWidth="1"/>
    <col min="6930" max="7171" width="9" style="1278"/>
    <col min="7172" max="7172" width="2.5" style="1278" customWidth="1"/>
    <col min="7173" max="7173" width="3.5" style="1278" customWidth="1"/>
    <col min="7174" max="7174" width="21.5" style="1278" customWidth="1"/>
    <col min="7175" max="7175" width="4" style="1278" customWidth="1"/>
    <col min="7176" max="7176" width="5.33203125" style="1278" customWidth="1"/>
    <col min="7177" max="7177" width="15.33203125" style="1278" customWidth="1"/>
    <col min="7178" max="7185" width="14.33203125" style="1278" customWidth="1"/>
    <col min="7186" max="7427" width="9" style="1278"/>
    <col min="7428" max="7428" width="2.5" style="1278" customWidth="1"/>
    <col min="7429" max="7429" width="3.5" style="1278" customWidth="1"/>
    <col min="7430" max="7430" width="21.5" style="1278" customWidth="1"/>
    <col min="7431" max="7431" width="4" style="1278" customWidth="1"/>
    <col min="7432" max="7432" width="5.33203125" style="1278" customWidth="1"/>
    <col min="7433" max="7433" width="15.33203125" style="1278" customWidth="1"/>
    <col min="7434" max="7441" width="14.33203125" style="1278" customWidth="1"/>
    <col min="7442" max="7683" width="9" style="1278"/>
    <col min="7684" max="7684" width="2.5" style="1278" customWidth="1"/>
    <col min="7685" max="7685" width="3.5" style="1278" customWidth="1"/>
    <col min="7686" max="7686" width="21.5" style="1278" customWidth="1"/>
    <col min="7687" max="7687" width="4" style="1278" customWidth="1"/>
    <col min="7688" max="7688" width="5.33203125" style="1278" customWidth="1"/>
    <col min="7689" max="7689" width="15.33203125" style="1278" customWidth="1"/>
    <col min="7690" max="7697" width="14.33203125" style="1278" customWidth="1"/>
    <col min="7698" max="7939" width="9" style="1278"/>
    <col min="7940" max="7940" width="2.5" style="1278" customWidth="1"/>
    <col min="7941" max="7941" width="3.5" style="1278" customWidth="1"/>
    <col min="7942" max="7942" width="21.5" style="1278" customWidth="1"/>
    <col min="7943" max="7943" width="4" style="1278" customWidth="1"/>
    <col min="7944" max="7944" width="5.33203125" style="1278" customWidth="1"/>
    <col min="7945" max="7945" width="15.33203125" style="1278" customWidth="1"/>
    <col min="7946" max="7953" width="14.33203125" style="1278" customWidth="1"/>
    <col min="7954" max="8195" width="9" style="1278"/>
    <col min="8196" max="8196" width="2.5" style="1278" customWidth="1"/>
    <col min="8197" max="8197" width="3.5" style="1278" customWidth="1"/>
    <col min="8198" max="8198" width="21.5" style="1278" customWidth="1"/>
    <col min="8199" max="8199" width="4" style="1278" customWidth="1"/>
    <col min="8200" max="8200" width="5.33203125" style="1278" customWidth="1"/>
    <col min="8201" max="8201" width="15.33203125" style="1278" customWidth="1"/>
    <col min="8202" max="8209" width="14.33203125" style="1278" customWidth="1"/>
    <col min="8210" max="8451" width="9" style="1278"/>
    <col min="8452" max="8452" width="2.5" style="1278" customWidth="1"/>
    <col min="8453" max="8453" width="3.5" style="1278" customWidth="1"/>
    <col min="8454" max="8454" width="21.5" style="1278" customWidth="1"/>
    <col min="8455" max="8455" width="4" style="1278" customWidth="1"/>
    <col min="8456" max="8456" width="5.33203125" style="1278" customWidth="1"/>
    <col min="8457" max="8457" width="15.33203125" style="1278" customWidth="1"/>
    <col min="8458" max="8465" width="14.33203125" style="1278" customWidth="1"/>
    <col min="8466" max="8707" width="9" style="1278"/>
    <col min="8708" max="8708" width="2.5" style="1278" customWidth="1"/>
    <col min="8709" max="8709" width="3.5" style="1278" customWidth="1"/>
    <col min="8710" max="8710" width="21.5" style="1278" customWidth="1"/>
    <col min="8711" max="8711" width="4" style="1278" customWidth="1"/>
    <col min="8712" max="8712" width="5.33203125" style="1278" customWidth="1"/>
    <col min="8713" max="8713" width="15.33203125" style="1278" customWidth="1"/>
    <col min="8714" max="8721" width="14.33203125" style="1278" customWidth="1"/>
    <col min="8722" max="8963" width="9" style="1278"/>
    <col min="8964" max="8964" width="2.5" style="1278" customWidth="1"/>
    <col min="8965" max="8965" width="3.5" style="1278" customWidth="1"/>
    <col min="8966" max="8966" width="21.5" style="1278" customWidth="1"/>
    <col min="8967" max="8967" width="4" style="1278" customWidth="1"/>
    <col min="8968" max="8968" width="5.33203125" style="1278" customWidth="1"/>
    <col min="8969" max="8969" width="15.33203125" style="1278" customWidth="1"/>
    <col min="8970" max="8977" width="14.33203125" style="1278" customWidth="1"/>
    <col min="8978" max="9219" width="9" style="1278"/>
    <col min="9220" max="9220" width="2.5" style="1278" customWidth="1"/>
    <col min="9221" max="9221" width="3.5" style="1278" customWidth="1"/>
    <col min="9222" max="9222" width="21.5" style="1278" customWidth="1"/>
    <col min="9223" max="9223" width="4" style="1278" customWidth="1"/>
    <col min="9224" max="9224" width="5.33203125" style="1278" customWidth="1"/>
    <col min="9225" max="9225" width="15.33203125" style="1278" customWidth="1"/>
    <col min="9226" max="9233" width="14.33203125" style="1278" customWidth="1"/>
    <col min="9234" max="9475" width="9" style="1278"/>
    <col min="9476" max="9476" width="2.5" style="1278" customWidth="1"/>
    <col min="9477" max="9477" width="3.5" style="1278" customWidth="1"/>
    <col min="9478" max="9478" width="21.5" style="1278" customWidth="1"/>
    <col min="9479" max="9479" width="4" style="1278" customWidth="1"/>
    <col min="9480" max="9480" width="5.33203125" style="1278" customWidth="1"/>
    <col min="9481" max="9481" width="15.33203125" style="1278" customWidth="1"/>
    <col min="9482" max="9489" width="14.33203125" style="1278" customWidth="1"/>
    <col min="9490" max="9731" width="9" style="1278"/>
    <col min="9732" max="9732" width="2.5" style="1278" customWidth="1"/>
    <col min="9733" max="9733" width="3.5" style="1278" customWidth="1"/>
    <col min="9734" max="9734" width="21.5" style="1278" customWidth="1"/>
    <col min="9735" max="9735" width="4" style="1278" customWidth="1"/>
    <col min="9736" max="9736" width="5.33203125" style="1278" customWidth="1"/>
    <col min="9737" max="9737" width="15.33203125" style="1278" customWidth="1"/>
    <col min="9738" max="9745" width="14.33203125" style="1278" customWidth="1"/>
    <col min="9746" max="9987" width="9" style="1278"/>
    <col min="9988" max="9988" width="2.5" style="1278" customWidth="1"/>
    <col min="9989" max="9989" width="3.5" style="1278" customWidth="1"/>
    <col min="9990" max="9990" width="21.5" style="1278" customWidth="1"/>
    <col min="9991" max="9991" width="4" style="1278" customWidth="1"/>
    <col min="9992" max="9992" width="5.33203125" style="1278" customWidth="1"/>
    <col min="9993" max="9993" width="15.33203125" style="1278" customWidth="1"/>
    <col min="9994" max="10001" width="14.33203125" style="1278" customWidth="1"/>
    <col min="10002" max="10243" width="9" style="1278"/>
    <col min="10244" max="10244" width="2.5" style="1278" customWidth="1"/>
    <col min="10245" max="10245" width="3.5" style="1278" customWidth="1"/>
    <col min="10246" max="10246" width="21.5" style="1278" customWidth="1"/>
    <col min="10247" max="10247" width="4" style="1278" customWidth="1"/>
    <col min="10248" max="10248" width="5.33203125" style="1278" customWidth="1"/>
    <col min="10249" max="10249" width="15.33203125" style="1278" customWidth="1"/>
    <col min="10250" max="10257" width="14.33203125" style="1278" customWidth="1"/>
    <col min="10258" max="10499" width="9" style="1278"/>
    <col min="10500" max="10500" width="2.5" style="1278" customWidth="1"/>
    <col min="10501" max="10501" width="3.5" style="1278" customWidth="1"/>
    <col min="10502" max="10502" width="21.5" style="1278" customWidth="1"/>
    <col min="10503" max="10503" width="4" style="1278" customWidth="1"/>
    <col min="10504" max="10504" width="5.33203125" style="1278" customWidth="1"/>
    <col min="10505" max="10505" width="15.33203125" style="1278" customWidth="1"/>
    <col min="10506" max="10513" width="14.33203125" style="1278" customWidth="1"/>
    <col min="10514" max="10755" width="9" style="1278"/>
    <col min="10756" max="10756" width="2.5" style="1278" customWidth="1"/>
    <col min="10757" max="10757" width="3.5" style="1278" customWidth="1"/>
    <col min="10758" max="10758" width="21.5" style="1278" customWidth="1"/>
    <col min="10759" max="10759" width="4" style="1278" customWidth="1"/>
    <col min="10760" max="10760" width="5.33203125" style="1278" customWidth="1"/>
    <col min="10761" max="10761" width="15.33203125" style="1278" customWidth="1"/>
    <col min="10762" max="10769" width="14.33203125" style="1278" customWidth="1"/>
    <col min="10770" max="11011" width="9" style="1278"/>
    <col min="11012" max="11012" width="2.5" style="1278" customWidth="1"/>
    <col min="11013" max="11013" width="3.5" style="1278" customWidth="1"/>
    <col min="11014" max="11014" width="21.5" style="1278" customWidth="1"/>
    <col min="11015" max="11015" width="4" style="1278" customWidth="1"/>
    <col min="11016" max="11016" width="5.33203125" style="1278" customWidth="1"/>
    <col min="11017" max="11017" width="15.33203125" style="1278" customWidth="1"/>
    <col min="11018" max="11025" width="14.33203125" style="1278" customWidth="1"/>
    <col min="11026" max="11267" width="9" style="1278"/>
    <col min="11268" max="11268" width="2.5" style="1278" customWidth="1"/>
    <col min="11269" max="11269" width="3.5" style="1278" customWidth="1"/>
    <col min="11270" max="11270" width="21.5" style="1278" customWidth="1"/>
    <col min="11271" max="11271" width="4" style="1278" customWidth="1"/>
    <col min="11272" max="11272" width="5.33203125" style="1278" customWidth="1"/>
    <col min="11273" max="11273" width="15.33203125" style="1278" customWidth="1"/>
    <col min="11274" max="11281" width="14.33203125" style="1278" customWidth="1"/>
    <col min="11282" max="11523" width="9" style="1278"/>
    <col min="11524" max="11524" width="2.5" style="1278" customWidth="1"/>
    <col min="11525" max="11525" width="3.5" style="1278" customWidth="1"/>
    <col min="11526" max="11526" width="21.5" style="1278" customWidth="1"/>
    <col min="11527" max="11527" width="4" style="1278" customWidth="1"/>
    <col min="11528" max="11528" width="5.33203125" style="1278" customWidth="1"/>
    <col min="11529" max="11529" width="15.33203125" style="1278" customWidth="1"/>
    <col min="11530" max="11537" width="14.33203125" style="1278" customWidth="1"/>
    <col min="11538" max="11779" width="9" style="1278"/>
    <col min="11780" max="11780" width="2.5" style="1278" customWidth="1"/>
    <col min="11781" max="11781" width="3.5" style="1278" customWidth="1"/>
    <col min="11782" max="11782" width="21.5" style="1278" customWidth="1"/>
    <col min="11783" max="11783" width="4" style="1278" customWidth="1"/>
    <col min="11784" max="11784" width="5.33203125" style="1278" customWidth="1"/>
    <col min="11785" max="11785" width="15.33203125" style="1278" customWidth="1"/>
    <col min="11786" max="11793" width="14.33203125" style="1278" customWidth="1"/>
    <col min="11794" max="12035" width="9" style="1278"/>
    <col min="12036" max="12036" width="2.5" style="1278" customWidth="1"/>
    <col min="12037" max="12037" width="3.5" style="1278" customWidth="1"/>
    <col min="12038" max="12038" width="21.5" style="1278" customWidth="1"/>
    <col min="12039" max="12039" width="4" style="1278" customWidth="1"/>
    <col min="12040" max="12040" width="5.33203125" style="1278" customWidth="1"/>
    <col min="12041" max="12041" width="15.33203125" style="1278" customWidth="1"/>
    <col min="12042" max="12049" width="14.33203125" style="1278" customWidth="1"/>
    <col min="12050" max="12291" width="9" style="1278"/>
    <col min="12292" max="12292" width="2.5" style="1278" customWidth="1"/>
    <col min="12293" max="12293" width="3.5" style="1278" customWidth="1"/>
    <col min="12294" max="12294" width="21.5" style="1278" customWidth="1"/>
    <col min="12295" max="12295" width="4" style="1278" customWidth="1"/>
    <col min="12296" max="12296" width="5.33203125" style="1278" customWidth="1"/>
    <col min="12297" max="12297" width="15.33203125" style="1278" customWidth="1"/>
    <col min="12298" max="12305" width="14.33203125" style="1278" customWidth="1"/>
    <col min="12306" max="12547" width="9" style="1278"/>
    <col min="12548" max="12548" width="2.5" style="1278" customWidth="1"/>
    <col min="12549" max="12549" width="3.5" style="1278" customWidth="1"/>
    <col min="12550" max="12550" width="21.5" style="1278" customWidth="1"/>
    <col min="12551" max="12551" width="4" style="1278" customWidth="1"/>
    <col min="12552" max="12552" width="5.33203125" style="1278" customWidth="1"/>
    <col min="12553" max="12553" width="15.33203125" style="1278" customWidth="1"/>
    <col min="12554" max="12561" width="14.33203125" style="1278" customWidth="1"/>
    <col min="12562" max="12803" width="9" style="1278"/>
    <col min="12804" max="12804" width="2.5" style="1278" customWidth="1"/>
    <col min="12805" max="12805" width="3.5" style="1278" customWidth="1"/>
    <col min="12806" max="12806" width="21.5" style="1278" customWidth="1"/>
    <col min="12807" max="12807" width="4" style="1278" customWidth="1"/>
    <col min="12808" max="12808" width="5.33203125" style="1278" customWidth="1"/>
    <col min="12809" max="12809" width="15.33203125" style="1278" customWidth="1"/>
    <col min="12810" max="12817" width="14.33203125" style="1278" customWidth="1"/>
    <col min="12818" max="13059" width="9" style="1278"/>
    <col min="13060" max="13060" width="2.5" style="1278" customWidth="1"/>
    <col min="13061" max="13061" width="3.5" style="1278" customWidth="1"/>
    <col min="13062" max="13062" width="21.5" style="1278" customWidth="1"/>
    <col min="13063" max="13063" width="4" style="1278" customWidth="1"/>
    <col min="13064" max="13064" width="5.33203125" style="1278" customWidth="1"/>
    <col min="13065" max="13065" width="15.33203125" style="1278" customWidth="1"/>
    <col min="13066" max="13073" width="14.33203125" style="1278" customWidth="1"/>
    <col min="13074" max="13315" width="9" style="1278"/>
    <col min="13316" max="13316" width="2.5" style="1278" customWidth="1"/>
    <col min="13317" max="13317" width="3.5" style="1278" customWidth="1"/>
    <col min="13318" max="13318" width="21.5" style="1278" customWidth="1"/>
    <col min="13319" max="13319" width="4" style="1278" customWidth="1"/>
    <col min="13320" max="13320" width="5.33203125" style="1278" customWidth="1"/>
    <col min="13321" max="13321" width="15.33203125" style="1278" customWidth="1"/>
    <col min="13322" max="13329" width="14.33203125" style="1278" customWidth="1"/>
    <col min="13330" max="13571" width="9" style="1278"/>
    <col min="13572" max="13572" width="2.5" style="1278" customWidth="1"/>
    <col min="13573" max="13573" width="3.5" style="1278" customWidth="1"/>
    <col min="13574" max="13574" width="21.5" style="1278" customWidth="1"/>
    <col min="13575" max="13575" width="4" style="1278" customWidth="1"/>
    <col min="13576" max="13576" width="5.33203125" style="1278" customWidth="1"/>
    <col min="13577" max="13577" width="15.33203125" style="1278" customWidth="1"/>
    <col min="13578" max="13585" width="14.33203125" style="1278" customWidth="1"/>
    <col min="13586" max="13827" width="9" style="1278"/>
    <col min="13828" max="13828" width="2.5" style="1278" customWidth="1"/>
    <col min="13829" max="13829" width="3.5" style="1278" customWidth="1"/>
    <col min="13830" max="13830" width="21.5" style="1278" customWidth="1"/>
    <col min="13831" max="13831" width="4" style="1278" customWidth="1"/>
    <col min="13832" max="13832" width="5.33203125" style="1278" customWidth="1"/>
    <col min="13833" max="13833" width="15.33203125" style="1278" customWidth="1"/>
    <col min="13834" max="13841" width="14.33203125" style="1278" customWidth="1"/>
    <col min="13842" max="14083" width="9" style="1278"/>
    <col min="14084" max="14084" width="2.5" style="1278" customWidth="1"/>
    <col min="14085" max="14085" width="3.5" style="1278" customWidth="1"/>
    <col min="14086" max="14086" width="21.5" style="1278" customWidth="1"/>
    <col min="14087" max="14087" width="4" style="1278" customWidth="1"/>
    <col min="14088" max="14088" width="5.33203125" style="1278" customWidth="1"/>
    <col min="14089" max="14089" width="15.33203125" style="1278" customWidth="1"/>
    <col min="14090" max="14097" width="14.33203125" style="1278" customWidth="1"/>
    <col min="14098" max="14339" width="9" style="1278"/>
    <col min="14340" max="14340" width="2.5" style="1278" customWidth="1"/>
    <col min="14341" max="14341" width="3.5" style="1278" customWidth="1"/>
    <col min="14342" max="14342" width="21.5" style="1278" customWidth="1"/>
    <col min="14343" max="14343" width="4" style="1278" customWidth="1"/>
    <col min="14344" max="14344" width="5.33203125" style="1278" customWidth="1"/>
    <col min="14345" max="14345" width="15.33203125" style="1278" customWidth="1"/>
    <col min="14346" max="14353" width="14.33203125" style="1278" customWidth="1"/>
    <col min="14354" max="14595" width="9" style="1278"/>
    <col min="14596" max="14596" width="2.5" style="1278" customWidth="1"/>
    <col min="14597" max="14597" width="3.5" style="1278" customWidth="1"/>
    <col min="14598" max="14598" width="21.5" style="1278" customWidth="1"/>
    <col min="14599" max="14599" width="4" style="1278" customWidth="1"/>
    <col min="14600" max="14600" width="5.33203125" style="1278" customWidth="1"/>
    <col min="14601" max="14601" width="15.33203125" style="1278" customWidth="1"/>
    <col min="14602" max="14609" width="14.33203125" style="1278" customWidth="1"/>
    <col min="14610" max="14851" width="9" style="1278"/>
    <col min="14852" max="14852" width="2.5" style="1278" customWidth="1"/>
    <col min="14853" max="14853" width="3.5" style="1278" customWidth="1"/>
    <col min="14854" max="14854" width="21.5" style="1278" customWidth="1"/>
    <col min="14855" max="14855" width="4" style="1278" customWidth="1"/>
    <col min="14856" max="14856" width="5.33203125" style="1278" customWidth="1"/>
    <col min="14857" max="14857" width="15.33203125" style="1278" customWidth="1"/>
    <col min="14858" max="14865" width="14.33203125" style="1278" customWidth="1"/>
    <col min="14866" max="15107" width="9" style="1278"/>
    <col min="15108" max="15108" width="2.5" style="1278" customWidth="1"/>
    <col min="15109" max="15109" width="3.5" style="1278" customWidth="1"/>
    <col min="15110" max="15110" width="21.5" style="1278" customWidth="1"/>
    <col min="15111" max="15111" width="4" style="1278" customWidth="1"/>
    <col min="15112" max="15112" width="5.33203125" style="1278" customWidth="1"/>
    <col min="15113" max="15113" width="15.33203125" style="1278" customWidth="1"/>
    <col min="15114" max="15121" width="14.33203125" style="1278" customWidth="1"/>
    <col min="15122" max="15363" width="9" style="1278"/>
    <col min="15364" max="15364" width="2.5" style="1278" customWidth="1"/>
    <col min="15365" max="15365" width="3.5" style="1278" customWidth="1"/>
    <col min="15366" max="15366" width="21.5" style="1278" customWidth="1"/>
    <col min="15367" max="15367" width="4" style="1278" customWidth="1"/>
    <col min="15368" max="15368" width="5.33203125" style="1278" customWidth="1"/>
    <col min="15369" max="15369" width="15.33203125" style="1278" customWidth="1"/>
    <col min="15370" max="15377" width="14.33203125" style="1278" customWidth="1"/>
    <col min="15378" max="15619" width="9" style="1278"/>
    <col min="15620" max="15620" width="2.5" style="1278" customWidth="1"/>
    <col min="15621" max="15621" width="3.5" style="1278" customWidth="1"/>
    <col min="15622" max="15622" width="21.5" style="1278" customWidth="1"/>
    <col min="15623" max="15623" width="4" style="1278" customWidth="1"/>
    <col min="15624" max="15624" width="5.33203125" style="1278" customWidth="1"/>
    <col min="15625" max="15625" width="15.33203125" style="1278" customWidth="1"/>
    <col min="15626" max="15633" width="14.33203125" style="1278" customWidth="1"/>
    <col min="15634" max="15875" width="9" style="1278"/>
    <col min="15876" max="15876" width="2.5" style="1278" customWidth="1"/>
    <col min="15877" max="15877" width="3.5" style="1278" customWidth="1"/>
    <col min="15878" max="15878" width="21.5" style="1278" customWidth="1"/>
    <col min="15879" max="15879" width="4" style="1278" customWidth="1"/>
    <col min="15880" max="15880" width="5.33203125" style="1278" customWidth="1"/>
    <col min="15881" max="15881" width="15.33203125" style="1278" customWidth="1"/>
    <col min="15882" max="15889" width="14.33203125" style="1278" customWidth="1"/>
    <col min="15890" max="16131" width="9" style="1278"/>
    <col min="16132" max="16132" width="2.5" style="1278" customWidth="1"/>
    <col min="16133" max="16133" width="3.5" style="1278" customWidth="1"/>
    <col min="16134" max="16134" width="21.5" style="1278" customWidth="1"/>
    <col min="16135" max="16135" width="4" style="1278" customWidth="1"/>
    <col min="16136" max="16136" width="5.33203125" style="1278" customWidth="1"/>
    <col min="16137" max="16137" width="15.33203125" style="1278" customWidth="1"/>
    <col min="16138" max="16145" width="14.33203125" style="1278" customWidth="1"/>
    <col min="16146" max="16384" width="9" style="1278"/>
  </cols>
  <sheetData>
    <row r="1" spans="1:17" s="839" customFormat="1" ht="14">
      <c r="A1" s="833"/>
      <c r="B1" s="833"/>
      <c r="C1" s="834"/>
      <c r="D1" s="834"/>
      <c r="E1" s="835" t="s">
        <v>2501</v>
      </c>
      <c r="F1" s="2729" t="str">
        <f>+表紙!D11</f>
        <v>東梅田外１駅可動式ホーム柵設置に伴う建築その他工事</v>
      </c>
      <c r="G1" s="2729"/>
      <c r="H1" s="2729"/>
      <c r="I1" s="2729"/>
      <c r="J1" s="2729"/>
      <c r="K1" s="2729"/>
      <c r="L1" s="2729"/>
      <c r="M1" s="2729"/>
      <c r="N1" s="2729"/>
      <c r="O1" s="836"/>
      <c r="P1" s="837">
        <v>20180319</v>
      </c>
      <c r="Q1" s="838" t="s">
        <v>2502</v>
      </c>
    </row>
    <row r="2" spans="1:17" s="839" customFormat="1" ht="13.5" customHeight="1">
      <c r="A2" s="833"/>
      <c r="B2" s="833"/>
      <c r="C2" s="2730" t="s">
        <v>2503</v>
      </c>
      <c r="D2" s="2730"/>
      <c r="E2" s="2730"/>
      <c r="F2" s="833" t="s">
        <v>2504</v>
      </c>
      <c r="G2" s="840">
        <v>0.74370000000000003</v>
      </c>
      <c r="H2" s="841"/>
      <c r="I2" s="2660"/>
      <c r="J2" s="2600" t="s">
        <v>2949</v>
      </c>
      <c r="K2" s="2601" t="s">
        <v>2950</v>
      </c>
      <c r="L2" s="2604" t="s">
        <v>2952</v>
      </c>
      <c r="N2" s="2604" t="s">
        <v>2960</v>
      </c>
      <c r="O2" s="2642" t="s">
        <v>3297</v>
      </c>
      <c r="P2" s="2643" t="s">
        <v>3298</v>
      </c>
      <c r="Q2" s="841" t="s">
        <v>246</v>
      </c>
    </row>
    <row r="3" spans="1:17" s="839" customFormat="1" ht="14">
      <c r="A3" s="842"/>
      <c r="B3" s="843"/>
      <c r="C3" s="844"/>
      <c r="D3" s="845"/>
      <c r="E3" s="846"/>
      <c r="F3" s="847" t="s">
        <v>2505</v>
      </c>
      <c r="G3" s="2602" t="str">
        <f>+G87</f>
        <v>可動式ホーム柵設置に伴う建築工事</v>
      </c>
      <c r="H3" s="848" t="str">
        <f t="shared" ref="H3:N3" si="0">+H87</f>
        <v>隙間解消工事</v>
      </c>
      <c r="I3" s="848" t="str">
        <f t="shared" si="0"/>
        <v>列車停止位置変更に伴う建築工事</v>
      </c>
      <c r="J3" s="2602" t="str">
        <f t="shared" si="0"/>
        <v>床仕上改造その他工事</v>
      </c>
      <c r="K3" s="2602" t="str">
        <f t="shared" si="0"/>
        <v>整列乗車対策工事</v>
      </c>
      <c r="L3" s="2603" t="str">
        <f t="shared" si="0"/>
        <v>可動式ホーム柵設置に伴う建築工事</v>
      </c>
      <c r="M3" s="848" t="str">
        <f t="shared" si="0"/>
        <v>隙間解消工事</v>
      </c>
      <c r="N3" s="2603" t="str">
        <f t="shared" si="0"/>
        <v>床仕上改造その他工事</v>
      </c>
      <c r="O3" s="2644" t="str">
        <f>+工事6!C2</f>
        <v>ア)東梅田駅の部-床仕上改造その他工事-機械設備工事</v>
      </c>
      <c r="P3" s="2644" t="str">
        <f>+工事7!C2</f>
        <v>イ)6号線堺筋本町駅の部-床仕上改造その他工事-機械設備工事</v>
      </c>
      <c r="Q3" s="848">
        <f t="shared" ref="Q3" si="1">Q86</f>
        <v>0</v>
      </c>
    </row>
    <row r="4" spans="1:17" s="839" customFormat="1" ht="13.5" customHeight="1">
      <c r="A4" s="842"/>
      <c r="B4" s="2731" t="s">
        <v>2506</v>
      </c>
      <c r="C4" s="2731"/>
      <c r="D4" s="2731"/>
      <c r="E4" s="846"/>
      <c r="F4" s="849">
        <f>SUM(G4:Q4)</f>
        <v>16017034</v>
      </c>
      <c r="G4" s="850">
        <f>G80</f>
        <v>1512430</v>
      </c>
      <c r="H4" s="851">
        <f t="shared" ref="H4:Q5" si="2">H80</f>
        <v>0</v>
      </c>
      <c r="I4" s="851">
        <f t="shared" si="2"/>
        <v>0</v>
      </c>
      <c r="J4" s="851">
        <f t="shared" ref="J4:L4" si="3">J80</f>
        <v>5039181</v>
      </c>
      <c r="K4" s="851">
        <f t="shared" si="3"/>
        <v>74369</v>
      </c>
      <c r="L4" s="851">
        <f t="shared" si="3"/>
        <v>1925896</v>
      </c>
      <c r="M4" s="851">
        <f t="shared" si="2"/>
        <v>0</v>
      </c>
      <c r="N4" s="851">
        <f t="shared" si="2"/>
        <v>5622785</v>
      </c>
      <c r="O4" s="851">
        <f t="shared" si="2"/>
        <v>905458</v>
      </c>
      <c r="P4" s="849">
        <f t="shared" si="2"/>
        <v>936915</v>
      </c>
      <c r="Q4" s="852">
        <f t="shared" si="2"/>
        <v>0</v>
      </c>
    </row>
    <row r="5" spans="1:17" s="839" customFormat="1" ht="13.5" customHeight="1">
      <c r="A5" s="853"/>
      <c r="B5" s="2732" t="s">
        <v>2507</v>
      </c>
      <c r="C5" s="2732"/>
      <c r="D5" s="2732"/>
      <c r="E5" s="854"/>
      <c r="F5" s="855">
        <f>SUM(G5:Q5)</f>
        <v>3642966</v>
      </c>
      <c r="G5" s="856">
        <f>G81</f>
        <v>188570</v>
      </c>
      <c r="H5" s="857">
        <f t="shared" si="2"/>
        <v>0</v>
      </c>
      <c r="I5" s="857">
        <f t="shared" si="2"/>
        <v>0</v>
      </c>
      <c r="J5" s="857">
        <f t="shared" ref="J5:L5" si="4">J81</f>
        <v>995819</v>
      </c>
      <c r="K5" s="857">
        <f t="shared" si="4"/>
        <v>-8369</v>
      </c>
      <c r="L5" s="857">
        <f t="shared" si="4"/>
        <v>323104</v>
      </c>
      <c r="M5" s="857">
        <f t="shared" si="2"/>
        <v>0</v>
      </c>
      <c r="N5" s="857">
        <f t="shared" si="2"/>
        <v>1073215</v>
      </c>
      <c r="O5" s="857">
        <f t="shared" si="2"/>
        <v>526542</v>
      </c>
      <c r="P5" s="855">
        <f t="shared" si="2"/>
        <v>544085</v>
      </c>
      <c r="Q5" s="858">
        <f t="shared" si="2"/>
        <v>0</v>
      </c>
    </row>
    <row r="6" spans="1:17" s="839" customFormat="1" ht="13.5" customHeight="1">
      <c r="A6" s="859"/>
      <c r="B6" s="2733" t="s">
        <v>234</v>
      </c>
      <c r="C6" s="2733"/>
      <c r="D6" s="2733"/>
      <c r="E6" s="860"/>
      <c r="F6" s="861">
        <f>SUM(G6:Q6)</f>
        <v>19660000</v>
      </c>
      <c r="G6" s="862">
        <f t="shared" ref="G6:Q6" si="5">G79</f>
        <v>1701000</v>
      </c>
      <c r="H6" s="863">
        <f t="shared" si="5"/>
        <v>0</v>
      </c>
      <c r="I6" s="863">
        <f t="shared" si="5"/>
        <v>0</v>
      </c>
      <c r="J6" s="863">
        <f t="shared" ref="J6:L6" si="6">J79</f>
        <v>6035000</v>
      </c>
      <c r="K6" s="863">
        <f t="shared" si="6"/>
        <v>66000</v>
      </c>
      <c r="L6" s="863">
        <f t="shared" si="6"/>
        <v>2249000</v>
      </c>
      <c r="M6" s="863">
        <f t="shared" si="5"/>
        <v>0</v>
      </c>
      <c r="N6" s="863">
        <f t="shared" si="5"/>
        <v>6696000</v>
      </c>
      <c r="O6" s="863">
        <f t="shared" si="5"/>
        <v>1432000</v>
      </c>
      <c r="P6" s="861">
        <f t="shared" si="5"/>
        <v>1481000</v>
      </c>
      <c r="Q6" s="864">
        <f t="shared" si="5"/>
        <v>0</v>
      </c>
    </row>
    <row r="7" spans="1:17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69"/>
      <c r="N7" s="841"/>
      <c r="O7" s="841"/>
      <c r="P7" s="841"/>
      <c r="Q7" s="841" t="s">
        <v>2509</v>
      </c>
    </row>
    <row r="8" spans="1:17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Q8" si="7">H84</f>
        <v>11</v>
      </c>
      <c r="I8" s="876">
        <f t="shared" si="7"/>
        <v>16.600000000000001</v>
      </c>
      <c r="J8" s="876">
        <f t="shared" ref="J8:L8" si="8">J84</f>
        <v>16.600000000000001</v>
      </c>
      <c r="K8" s="876">
        <f t="shared" si="8"/>
        <v>16.600000000000001</v>
      </c>
      <c r="L8" s="876">
        <f t="shared" si="8"/>
        <v>16.600000000000001</v>
      </c>
      <c r="M8" s="876">
        <f t="shared" si="7"/>
        <v>11</v>
      </c>
      <c r="N8" s="876">
        <f t="shared" si="7"/>
        <v>16.600000000000001</v>
      </c>
      <c r="O8" s="876">
        <v>7.4</v>
      </c>
      <c r="P8" s="876">
        <v>7.4</v>
      </c>
      <c r="Q8" s="877">
        <f t="shared" si="7"/>
        <v>0</v>
      </c>
    </row>
    <row r="9" spans="1:17" s="878" customFormat="1" ht="13.5" customHeight="1">
      <c r="A9" s="879"/>
      <c r="B9" s="880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Q9" si="9">IF(H85="","",H85)</f>
        <v>改修</v>
      </c>
      <c r="I9" s="885" t="str">
        <f t="shared" si="9"/>
        <v>改修</v>
      </c>
      <c r="J9" s="885" t="str">
        <f t="shared" ref="J9:L9" si="10">IF(J85="","",J85)</f>
        <v>改修</v>
      </c>
      <c r="K9" s="885" t="str">
        <f t="shared" si="10"/>
        <v>改修</v>
      </c>
      <c r="L9" s="885" t="str">
        <f t="shared" si="10"/>
        <v>改修</v>
      </c>
      <c r="M9" s="885" t="str">
        <f t="shared" si="9"/>
        <v>改修</v>
      </c>
      <c r="N9" s="885" t="str">
        <f t="shared" si="9"/>
        <v>改修</v>
      </c>
      <c r="O9" s="885" t="str">
        <f t="shared" si="9"/>
        <v/>
      </c>
      <c r="P9" s="885" t="str">
        <f t="shared" si="9"/>
        <v/>
      </c>
      <c r="Q9" s="886" t="str">
        <f t="shared" si="9"/>
        <v/>
      </c>
    </row>
    <row r="10" spans="1:17" s="889" customFormat="1" ht="13.5" customHeight="1">
      <c r="A10" s="2734" t="s">
        <v>2513</v>
      </c>
      <c r="B10" s="2735"/>
      <c r="C10" s="2735"/>
      <c r="D10" s="2735"/>
      <c r="E10" s="2735"/>
      <c r="F10" s="2736"/>
      <c r="G10" s="887" t="str">
        <f>G88</f>
        <v>積上げ・率処理併用</v>
      </c>
      <c r="H10" s="887" t="str">
        <f t="shared" ref="H10:Q12" si="11">H88</f>
        <v>積上げ・率処理併用</v>
      </c>
      <c r="I10" s="887" t="str">
        <f t="shared" si="11"/>
        <v>積上げ・率処理併用</v>
      </c>
      <c r="J10" s="887" t="str">
        <f t="shared" ref="J10:L10" si="12">J88</f>
        <v>積上げ・率処理併用</v>
      </c>
      <c r="K10" s="887" t="str">
        <f t="shared" si="12"/>
        <v>積上げ・率処理併用</v>
      </c>
      <c r="L10" s="887" t="str">
        <f t="shared" si="12"/>
        <v>積上げ・率処理併用</v>
      </c>
      <c r="M10" s="887" t="str">
        <f t="shared" si="11"/>
        <v>積上げ・率処理併用</v>
      </c>
      <c r="N10" s="887" t="str">
        <f t="shared" si="11"/>
        <v>積上げ・率処理併用</v>
      </c>
      <c r="O10" s="887" t="str">
        <f t="shared" si="11"/>
        <v>積上げ・率処理併用</v>
      </c>
      <c r="P10" s="887" t="str">
        <f t="shared" si="11"/>
        <v>積上げ・率処理併用</v>
      </c>
      <c r="Q10" s="888" t="str">
        <f t="shared" si="11"/>
        <v>積上げ・率処理併用</v>
      </c>
    </row>
    <row r="11" spans="1:17" s="889" customFormat="1" ht="30" customHeight="1">
      <c r="A11" s="2747" t="s">
        <v>2514</v>
      </c>
      <c r="B11" s="2748"/>
      <c r="C11" s="2748"/>
      <c r="D11" s="2748"/>
      <c r="E11" s="2748"/>
      <c r="F11" s="2749"/>
      <c r="G11" s="890" t="str">
        <f>G89</f>
        <v>駅施設</v>
      </c>
      <c r="H11" s="890" t="str">
        <f t="shared" si="11"/>
        <v>駅施設</v>
      </c>
      <c r="I11" s="890" t="str">
        <f t="shared" si="11"/>
        <v>駅施設</v>
      </c>
      <c r="J11" s="890" t="str">
        <f t="shared" ref="J11:L11" si="13">J89</f>
        <v>駅施設</v>
      </c>
      <c r="K11" s="890" t="str">
        <f t="shared" si="13"/>
        <v>駅施設</v>
      </c>
      <c r="L11" s="890" t="str">
        <f t="shared" si="13"/>
        <v>駅施設</v>
      </c>
      <c r="M11" s="890" t="str">
        <f t="shared" si="11"/>
        <v>駅施設</v>
      </c>
      <c r="N11" s="890" t="str">
        <f t="shared" si="11"/>
        <v>駅施設</v>
      </c>
      <c r="O11" s="890" t="str">
        <f t="shared" si="11"/>
        <v>駅施設</v>
      </c>
      <c r="P11" s="890" t="str">
        <f t="shared" si="11"/>
        <v>駅施設</v>
      </c>
      <c r="Q11" s="891" t="str">
        <f t="shared" si="11"/>
        <v>駅施設</v>
      </c>
    </row>
    <row r="12" spans="1:17" s="889" customFormat="1" ht="30" customHeight="1">
      <c r="A12" s="2750" t="s">
        <v>2515</v>
      </c>
      <c r="B12" s="2751"/>
      <c r="C12" s="2751"/>
      <c r="D12" s="2751"/>
      <c r="E12" s="2751"/>
      <c r="F12" s="2752"/>
      <c r="G12" s="892" t="str">
        <f>G90</f>
        <v>無し</v>
      </c>
      <c r="H12" s="892" t="str">
        <f t="shared" si="11"/>
        <v>無し</v>
      </c>
      <c r="I12" s="892" t="str">
        <f t="shared" si="11"/>
        <v>無し</v>
      </c>
      <c r="J12" s="892" t="str">
        <f t="shared" ref="J12:L12" si="14">J90</f>
        <v>無し</v>
      </c>
      <c r="K12" s="892" t="str">
        <f t="shared" si="14"/>
        <v>無し</v>
      </c>
      <c r="L12" s="892" t="str">
        <f t="shared" si="14"/>
        <v>無し</v>
      </c>
      <c r="M12" s="892" t="str">
        <f t="shared" si="11"/>
        <v>無し</v>
      </c>
      <c r="N12" s="892" t="str">
        <f t="shared" si="11"/>
        <v>無し</v>
      </c>
      <c r="O12" s="892" t="str">
        <f t="shared" si="11"/>
        <v>無し</v>
      </c>
      <c r="P12" s="892" t="str">
        <f t="shared" si="11"/>
        <v>無し</v>
      </c>
      <c r="Q12" s="893" t="str">
        <f t="shared" si="11"/>
        <v>無し</v>
      </c>
    </row>
    <row r="13" spans="1:17" s="889" customFormat="1" ht="13.5" customHeight="1">
      <c r="A13" s="870"/>
      <c r="B13" s="894" t="s">
        <v>2516</v>
      </c>
      <c r="C13" s="895"/>
      <c r="D13" s="895"/>
      <c r="E13" s="896"/>
      <c r="F13" s="897">
        <f>SUM(G13:Q13)</f>
        <v>21536951</v>
      </c>
      <c r="G13" s="898">
        <f>+G14+G15</f>
        <v>2033656</v>
      </c>
      <c r="H13" s="898">
        <f t="shared" ref="H13:Q13" si="15">+H14+H15</f>
        <v>0</v>
      </c>
      <c r="I13" s="898">
        <f t="shared" si="15"/>
        <v>0</v>
      </c>
      <c r="J13" s="898">
        <f t="shared" ref="J13:L13" si="16">+J14+J15</f>
        <v>6775824</v>
      </c>
      <c r="K13" s="898">
        <f t="shared" si="16"/>
        <v>99998</v>
      </c>
      <c r="L13" s="898">
        <f t="shared" si="16"/>
        <v>2589614</v>
      </c>
      <c r="M13" s="898">
        <f t="shared" si="15"/>
        <v>0</v>
      </c>
      <c r="N13" s="898">
        <f t="shared" si="15"/>
        <v>7560554</v>
      </c>
      <c r="O13" s="898">
        <f t="shared" si="15"/>
        <v>1217504</v>
      </c>
      <c r="P13" s="898">
        <f t="shared" si="15"/>
        <v>1259801</v>
      </c>
      <c r="Q13" s="899">
        <f t="shared" si="15"/>
        <v>0</v>
      </c>
    </row>
    <row r="14" spans="1:17" s="889" customFormat="1" ht="13.5" customHeight="1">
      <c r="A14" s="879"/>
      <c r="B14" s="880"/>
      <c r="C14" s="691" t="s">
        <v>2517</v>
      </c>
      <c r="D14" s="692"/>
      <c r="E14" s="874"/>
      <c r="F14" s="900">
        <f>SUM(G14:Q14)</f>
        <v>18232718</v>
      </c>
      <c r="G14" s="901">
        <f>+'変更諸経費表 (東梅田)'!G14</f>
        <v>1759829</v>
      </c>
      <c r="H14" s="901"/>
      <c r="I14" s="901"/>
      <c r="J14" s="901">
        <f>+'変更諸経費表 (東梅田)'!J14</f>
        <v>5744720</v>
      </c>
      <c r="K14" s="901">
        <f>+'変更諸経費表 (東梅田)'!K14</f>
        <v>98253</v>
      </c>
      <c r="L14" s="901">
        <f>+工事4!I16</f>
        <v>2137442</v>
      </c>
      <c r="M14" s="901"/>
      <c r="N14" s="901">
        <f>+'変更諸経費表 (堺筋本町)'!I14</f>
        <v>6281560</v>
      </c>
      <c r="O14" s="901">
        <f>+工事6!I8</f>
        <v>1085299</v>
      </c>
      <c r="P14" s="901">
        <f>+工事7!I8</f>
        <v>1125615</v>
      </c>
      <c r="Q14" s="902"/>
    </row>
    <row r="15" spans="1:17" s="889" customFormat="1" ht="14">
      <c r="A15" s="879"/>
      <c r="B15" s="880"/>
      <c r="C15" s="698" t="s">
        <v>2518</v>
      </c>
      <c r="D15" s="698"/>
      <c r="E15" s="903"/>
      <c r="F15" s="904">
        <f>SUM(G15:Q15)</f>
        <v>3304233</v>
      </c>
      <c r="G15" s="905">
        <f>G21+G22</f>
        <v>273827</v>
      </c>
      <c r="H15" s="905">
        <f t="shared" ref="H15:Q15" si="17">H21+H22</f>
        <v>0</v>
      </c>
      <c r="I15" s="905">
        <f t="shared" si="17"/>
        <v>0</v>
      </c>
      <c r="J15" s="905">
        <f t="shared" ref="J15:L15" si="18">J21+J22</f>
        <v>1031104</v>
      </c>
      <c r="K15" s="905">
        <f t="shared" si="18"/>
        <v>1745</v>
      </c>
      <c r="L15" s="905">
        <f t="shared" si="18"/>
        <v>452172</v>
      </c>
      <c r="M15" s="905">
        <f t="shared" si="17"/>
        <v>0</v>
      </c>
      <c r="N15" s="905">
        <f t="shared" si="17"/>
        <v>1278994</v>
      </c>
      <c r="O15" s="905">
        <f t="shared" si="17"/>
        <v>132205</v>
      </c>
      <c r="P15" s="905">
        <f t="shared" si="17"/>
        <v>134186</v>
      </c>
      <c r="Q15" s="906">
        <f t="shared" si="17"/>
        <v>0</v>
      </c>
    </row>
    <row r="16" spans="1:17" s="889" customFormat="1" ht="13.5" customHeight="1">
      <c r="A16" s="879"/>
      <c r="B16" s="880"/>
      <c r="C16" s="907" t="s">
        <v>2519</v>
      </c>
      <c r="D16" s="698"/>
      <c r="E16" s="903"/>
      <c r="F16" s="904">
        <f>SUM(G16:Q16)</f>
        <v>0</v>
      </c>
      <c r="G16" s="905">
        <f>G390-G174</f>
        <v>0</v>
      </c>
      <c r="H16" s="905">
        <f t="shared" ref="H16:Q16" si="19">H390-H174</f>
        <v>0</v>
      </c>
      <c r="I16" s="905">
        <f t="shared" si="19"/>
        <v>0</v>
      </c>
      <c r="J16" s="905">
        <f t="shared" ref="J16:L16" si="20">J390-J174</f>
        <v>0</v>
      </c>
      <c r="K16" s="905">
        <f t="shared" si="20"/>
        <v>0</v>
      </c>
      <c r="L16" s="905">
        <f t="shared" si="20"/>
        <v>0</v>
      </c>
      <c r="M16" s="905">
        <f t="shared" si="19"/>
        <v>0</v>
      </c>
      <c r="N16" s="905">
        <f t="shared" si="19"/>
        <v>0</v>
      </c>
      <c r="O16" s="905">
        <f t="shared" si="19"/>
        <v>0</v>
      </c>
      <c r="P16" s="905">
        <f t="shared" si="19"/>
        <v>0</v>
      </c>
      <c r="Q16" s="906">
        <f t="shared" si="19"/>
        <v>0</v>
      </c>
    </row>
    <row r="17" spans="1:42" s="889" customFormat="1" ht="13.5" customHeight="1">
      <c r="A17" s="879"/>
      <c r="B17" s="880"/>
      <c r="C17" s="907" t="s">
        <v>2520</v>
      </c>
      <c r="D17" s="698"/>
      <c r="E17" s="903"/>
      <c r="F17" s="904">
        <f>SUM(G17:AP17)</f>
        <v>0</v>
      </c>
      <c r="G17" s="905">
        <f>IF(AND(G14=0,G8=G84,G12="無し"),G16,0)</f>
        <v>0</v>
      </c>
      <c r="H17" s="905">
        <f t="shared" ref="H17:Q17" si="21">IF(AND(H14=0,H8=H84,H12="無し"),H16,0)</f>
        <v>0</v>
      </c>
      <c r="I17" s="905">
        <f t="shared" si="21"/>
        <v>0</v>
      </c>
      <c r="J17" s="905">
        <f t="shared" ref="J17:L17" si="22">IF(AND(J14=0,J8=J84,J12="無し"),J16,0)</f>
        <v>0</v>
      </c>
      <c r="K17" s="905">
        <f t="shared" si="22"/>
        <v>0</v>
      </c>
      <c r="L17" s="905">
        <f t="shared" si="22"/>
        <v>0</v>
      </c>
      <c r="M17" s="905">
        <f t="shared" si="21"/>
        <v>0</v>
      </c>
      <c r="N17" s="905">
        <f t="shared" si="21"/>
        <v>0</v>
      </c>
      <c r="O17" s="905">
        <f t="shared" si="21"/>
        <v>0</v>
      </c>
      <c r="P17" s="905">
        <f t="shared" si="21"/>
        <v>0</v>
      </c>
      <c r="Q17" s="906">
        <f t="shared" si="21"/>
        <v>0</v>
      </c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  <c r="AN17" s="908"/>
      <c r="AO17" s="908"/>
      <c r="AP17" s="908"/>
    </row>
    <row r="18" spans="1:42" s="889" customFormat="1" ht="13.5" customHeight="1">
      <c r="A18" s="879"/>
      <c r="B18" s="880"/>
      <c r="C18" s="907" t="s">
        <v>2521</v>
      </c>
      <c r="D18" s="698"/>
      <c r="E18" s="903"/>
      <c r="F18" s="904">
        <f>SUM(G18:AP18)</f>
        <v>0</v>
      </c>
      <c r="G18" s="905">
        <f>G14-G43</f>
        <v>0</v>
      </c>
      <c r="H18" s="905">
        <f t="shared" ref="H18:Q18" si="23">H14-H43</f>
        <v>0</v>
      </c>
      <c r="I18" s="905">
        <f t="shared" si="23"/>
        <v>0</v>
      </c>
      <c r="J18" s="905">
        <f t="shared" ref="J18:L18" si="24">J14-J43</f>
        <v>0</v>
      </c>
      <c r="K18" s="905">
        <f t="shared" si="24"/>
        <v>0</v>
      </c>
      <c r="L18" s="905">
        <f t="shared" si="24"/>
        <v>0</v>
      </c>
      <c r="M18" s="905">
        <f t="shared" si="23"/>
        <v>0</v>
      </c>
      <c r="N18" s="905">
        <f t="shared" si="23"/>
        <v>0</v>
      </c>
      <c r="O18" s="905">
        <f t="shared" si="23"/>
        <v>0</v>
      </c>
      <c r="P18" s="905">
        <f t="shared" si="23"/>
        <v>0</v>
      </c>
      <c r="Q18" s="906">
        <f t="shared" si="23"/>
        <v>0</v>
      </c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  <c r="AN18" s="908"/>
      <c r="AO18" s="908"/>
      <c r="AP18" s="908"/>
    </row>
    <row r="19" spans="1:42" s="889" customFormat="1" ht="13.5" customHeight="1">
      <c r="A19" s="879"/>
      <c r="B19" s="880"/>
      <c r="C19" s="907" t="s">
        <v>2522</v>
      </c>
      <c r="D19" s="698"/>
      <c r="E19" s="903"/>
      <c r="F19" s="904">
        <f>SUM(G19:AP19)</f>
        <v>0</v>
      </c>
      <c r="G19" s="905">
        <f>IF($F$17=0,0,(IF(G17=0,INT(G18/$F18*$F17),0)))</f>
        <v>0</v>
      </c>
      <c r="H19" s="905">
        <f t="shared" ref="H19:Q19" si="25">IF($F$17=0,0,(IF(H17=0,INT(H18/$F18*$F17),0)))</f>
        <v>0</v>
      </c>
      <c r="I19" s="905">
        <f t="shared" si="25"/>
        <v>0</v>
      </c>
      <c r="J19" s="905">
        <f t="shared" ref="J19:L19" si="26">IF($F$17=0,0,(IF(J17=0,INT(J18/$F18*$F17),0)))</f>
        <v>0</v>
      </c>
      <c r="K19" s="905">
        <f t="shared" si="26"/>
        <v>0</v>
      </c>
      <c r="L19" s="905">
        <f t="shared" si="26"/>
        <v>0</v>
      </c>
      <c r="M19" s="905">
        <f t="shared" si="25"/>
        <v>0</v>
      </c>
      <c r="N19" s="905">
        <f t="shared" si="25"/>
        <v>0</v>
      </c>
      <c r="O19" s="905">
        <f t="shared" si="25"/>
        <v>0</v>
      </c>
      <c r="P19" s="905">
        <f t="shared" si="25"/>
        <v>0</v>
      </c>
      <c r="Q19" s="906">
        <f t="shared" si="25"/>
        <v>0</v>
      </c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  <c r="AN19" s="908"/>
      <c r="AO19" s="908"/>
      <c r="AP19" s="908"/>
    </row>
    <row r="20" spans="1:42" s="889" customFormat="1" ht="13.5" customHeight="1">
      <c r="A20" s="879"/>
      <c r="B20" s="880"/>
      <c r="C20" s="909" t="s">
        <v>2523</v>
      </c>
      <c r="D20" s="698"/>
      <c r="E20" s="903"/>
      <c r="F20" s="904">
        <f>F17-F19</f>
        <v>0</v>
      </c>
      <c r="G20" s="910">
        <f>IF($F20=0,0,IF(G19=0,0,$F20))</f>
        <v>0</v>
      </c>
      <c r="H20" s="910">
        <f t="shared" ref="H20:Q20" si="27">IF($F20=0,0,IF(H19=0,0,$F20))</f>
        <v>0</v>
      </c>
      <c r="I20" s="910">
        <f t="shared" si="27"/>
        <v>0</v>
      </c>
      <c r="J20" s="910">
        <f t="shared" ref="J20:L20" si="28">IF($F20=0,0,IF(J19=0,0,$F20))</f>
        <v>0</v>
      </c>
      <c r="K20" s="910">
        <f t="shared" si="28"/>
        <v>0</v>
      </c>
      <c r="L20" s="910">
        <f t="shared" si="28"/>
        <v>0</v>
      </c>
      <c r="M20" s="910">
        <f t="shared" si="27"/>
        <v>0</v>
      </c>
      <c r="N20" s="910">
        <f t="shared" si="27"/>
        <v>0</v>
      </c>
      <c r="O20" s="910">
        <f t="shared" si="27"/>
        <v>0</v>
      </c>
      <c r="P20" s="910">
        <f t="shared" si="27"/>
        <v>0</v>
      </c>
      <c r="Q20" s="911">
        <f t="shared" si="27"/>
        <v>0</v>
      </c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  <c r="AN20" s="912"/>
      <c r="AO20" s="912"/>
      <c r="AP20" s="912"/>
    </row>
    <row r="21" spans="1:42" s="889" customFormat="1" ht="13.5" customHeight="1">
      <c r="A21" s="879"/>
      <c r="B21" s="880"/>
      <c r="C21" s="907" t="s">
        <v>2524</v>
      </c>
      <c r="D21" s="698"/>
      <c r="E21" s="903"/>
      <c r="F21" s="904">
        <f>SUM(G21:AP21)</f>
        <v>424133</v>
      </c>
      <c r="G21" s="910">
        <f>+'変更諸経費表 (東梅田)'!G21</f>
        <v>21894</v>
      </c>
      <c r="H21" s="910">
        <f t="shared" ref="H21:Q21" si="29">IF(H43="",IF(H14=0,IF(H8=H84,0,H16+H19+H20),H16+H19+H20),0)</f>
        <v>0</v>
      </c>
      <c r="I21" s="910">
        <f>+'変更諸経費表 (東梅田)'!I21</f>
        <v>0</v>
      </c>
      <c r="J21" s="910">
        <f>+'変更諸経費表 (東梅田)'!J21</f>
        <v>170368</v>
      </c>
      <c r="K21" s="910">
        <f>+'変更諸経費表 (東梅田)'!K21</f>
        <v>62</v>
      </c>
      <c r="L21" s="910">
        <f>+'変更諸経費表 (堺筋本町)'!G21</f>
        <v>48370</v>
      </c>
      <c r="M21" s="910">
        <f t="shared" si="29"/>
        <v>0</v>
      </c>
      <c r="N21" s="910">
        <f>+'変更諸経費表 (堺筋本町)'!I21</f>
        <v>183439</v>
      </c>
      <c r="O21" s="910">
        <f t="shared" si="29"/>
        <v>0</v>
      </c>
      <c r="P21" s="910">
        <f t="shared" si="29"/>
        <v>0</v>
      </c>
      <c r="Q21" s="911">
        <f t="shared" si="29"/>
        <v>0</v>
      </c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  <c r="AN21" s="912"/>
      <c r="AO21" s="912"/>
      <c r="AP21" s="912"/>
    </row>
    <row r="22" spans="1:42" s="889" customFormat="1" ht="14">
      <c r="A22" s="879"/>
      <c r="B22" s="880"/>
      <c r="C22" s="907" t="s">
        <v>2525</v>
      </c>
      <c r="D22" s="698"/>
      <c r="E22" s="903"/>
      <c r="F22" s="904">
        <f>SUM(G22:Q22)</f>
        <v>2880100</v>
      </c>
      <c r="G22" s="913">
        <f>+'変更諸経費表 (東梅田)'!G22</f>
        <v>251933</v>
      </c>
      <c r="H22" s="913"/>
      <c r="I22" s="913">
        <f>+'変更諸経費表 (東梅田)'!I22</f>
        <v>0</v>
      </c>
      <c r="J22" s="913">
        <f>+'変更諸経費表 (東梅田)'!J22</f>
        <v>860736</v>
      </c>
      <c r="K22" s="913">
        <f>+'変更諸経費表 (東梅田)'!K22</f>
        <v>1683</v>
      </c>
      <c r="L22" s="913">
        <f>+'変更諸経費表 (堺筋本町)'!G22</f>
        <v>403802</v>
      </c>
      <c r="M22" s="913"/>
      <c r="N22" s="913">
        <f>+'変更諸経費表 (堺筋本町)'!I22</f>
        <v>1095555</v>
      </c>
      <c r="O22" s="913">
        <f>+工事6!I19</f>
        <v>132205</v>
      </c>
      <c r="P22" s="913">
        <f>+工事7!I19</f>
        <v>134186</v>
      </c>
      <c r="Q22" s="914"/>
    </row>
    <row r="23" spans="1:42" s="889" customFormat="1" ht="13.5" customHeight="1">
      <c r="A23" s="879"/>
      <c r="B23" s="880"/>
      <c r="C23" s="915" t="s">
        <v>2526</v>
      </c>
      <c r="D23" s="698"/>
      <c r="E23" s="903"/>
      <c r="F23" s="904">
        <f>SUM(G23:Q23)</f>
        <v>0</v>
      </c>
      <c r="G23" s="913"/>
      <c r="H23" s="913"/>
      <c r="I23" s="913"/>
      <c r="J23" s="913"/>
      <c r="K23" s="913"/>
      <c r="L23" s="913"/>
      <c r="M23" s="913"/>
      <c r="N23" s="913"/>
      <c r="O23" s="913"/>
      <c r="P23" s="913"/>
      <c r="Q23" s="914"/>
    </row>
    <row r="24" spans="1:42" s="889" customFormat="1" ht="14">
      <c r="A24" s="879"/>
      <c r="B24" s="880"/>
      <c r="C24" s="916" t="s">
        <v>2527</v>
      </c>
      <c r="D24" s="917"/>
      <c r="E24" s="918"/>
      <c r="F24" s="919">
        <f>SUM(G24:Q24)</f>
        <v>0</v>
      </c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921"/>
    </row>
    <row r="25" spans="1:42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7"/>
      <c r="O25" s="927"/>
      <c r="P25" s="927"/>
      <c r="Q25" s="928"/>
    </row>
    <row r="26" spans="1:42" s="889" customFormat="1" ht="14">
      <c r="A26" s="2753"/>
      <c r="B26" s="2755" t="s">
        <v>2529</v>
      </c>
      <c r="C26" s="692" t="s">
        <v>2530</v>
      </c>
      <c r="D26" s="692"/>
      <c r="E26" s="875"/>
      <c r="F26" s="900">
        <f t="shared" ref="F26:F32" si="30">SUM(G26:Q26)</f>
        <v>0</v>
      </c>
      <c r="G26" s="901"/>
      <c r="H26" s="901"/>
      <c r="I26" s="901">
        <f t="shared" ref="I26:Q26" si="31">IF(I9="新営",I14-SUM(I28:I39)-I43-I42,0)</f>
        <v>0</v>
      </c>
      <c r="J26" s="901">
        <f t="shared" ref="J26:L26" si="32">IF(J9="新営",J14-SUM(J28:J39)-J43-J42,0)</f>
        <v>0</v>
      </c>
      <c r="K26" s="901">
        <f t="shared" si="32"/>
        <v>0</v>
      </c>
      <c r="L26" s="901">
        <f t="shared" si="32"/>
        <v>0</v>
      </c>
      <c r="M26" s="901">
        <f t="shared" si="31"/>
        <v>0</v>
      </c>
      <c r="N26" s="901">
        <f t="shared" si="31"/>
        <v>0</v>
      </c>
      <c r="O26" s="901">
        <f t="shared" si="31"/>
        <v>0</v>
      </c>
      <c r="P26" s="901">
        <f t="shared" si="31"/>
        <v>0</v>
      </c>
      <c r="Q26" s="902">
        <f t="shared" si="31"/>
        <v>0</v>
      </c>
    </row>
    <row r="27" spans="1:42" s="889" customFormat="1" ht="14">
      <c r="A27" s="2753"/>
      <c r="B27" s="2756"/>
      <c r="C27" s="699" t="s">
        <v>2531</v>
      </c>
      <c r="D27" s="699"/>
      <c r="E27" s="903"/>
      <c r="F27" s="904">
        <f t="shared" si="30"/>
        <v>0</v>
      </c>
      <c r="G27" s="905">
        <f>IF(G9="改修",G14-SUM(G28:G39)-G43-G42,0)</f>
        <v>0</v>
      </c>
      <c r="H27" s="905">
        <f t="shared" ref="H27:Q27" si="33">IF(H9="改修",H14-SUM(H28:H39)-H43-H42,0)</f>
        <v>0</v>
      </c>
      <c r="I27" s="905">
        <f t="shared" si="33"/>
        <v>0</v>
      </c>
      <c r="J27" s="905">
        <f t="shared" ref="J27:L27" si="34">IF(J9="改修",J14-SUM(J28:J39)-J43-J42,0)</f>
        <v>0</v>
      </c>
      <c r="K27" s="905">
        <f t="shared" si="34"/>
        <v>0</v>
      </c>
      <c r="L27" s="905">
        <f t="shared" si="34"/>
        <v>0</v>
      </c>
      <c r="M27" s="905">
        <f t="shared" si="33"/>
        <v>0</v>
      </c>
      <c r="N27" s="905">
        <f t="shared" si="33"/>
        <v>0</v>
      </c>
      <c r="O27" s="905">
        <f t="shared" si="33"/>
        <v>0</v>
      </c>
      <c r="P27" s="905">
        <f t="shared" si="33"/>
        <v>0</v>
      </c>
      <c r="Q27" s="906">
        <f t="shared" si="33"/>
        <v>0</v>
      </c>
    </row>
    <row r="28" spans="1:42" s="889" customFormat="1" ht="14">
      <c r="A28" s="2753"/>
      <c r="B28" s="2756"/>
      <c r="C28" s="929" t="s">
        <v>2532</v>
      </c>
      <c r="D28" s="699"/>
      <c r="E28" s="903"/>
      <c r="F28" s="904">
        <f t="shared" si="30"/>
        <v>0</v>
      </c>
      <c r="G28" s="913"/>
      <c r="H28" s="913"/>
      <c r="I28" s="913"/>
      <c r="J28" s="913"/>
      <c r="K28" s="913"/>
      <c r="L28" s="913"/>
      <c r="M28" s="913"/>
      <c r="N28" s="913"/>
      <c r="O28" s="913"/>
      <c r="P28" s="913"/>
      <c r="Q28" s="914"/>
    </row>
    <row r="29" spans="1:42" s="889" customFormat="1" ht="14">
      <c r="A29" s="2753"/>
      <c r="B29" s="2757"/>
      <c r="C29" s="929" t="s">
        <v>2533</v>
      </c>
      <c r="D29" s="699"/>
      <c r="E29" s="903"/>
      <c r="F29" s="904">
        <f t="shared" si="30"/>
        <v>0</v>
      </c>
      <c r="G29" s="913"/>
      <c r="H29" s="913"/>
      <c r="I29" s="913"/>
      <c r="J29" s="913"/>
      <c r="K29" s="913"/>
      <c r="L29" s="913"/>
      <c r="M29" s="913"/>
      <c r="N29" s="913"/>
      <c r="O29" s="913"/>
      <c r="P29" s="913"/>
      <c r="Q29" s="914"/>
    </row>
    <row r="30" spans="1:42" s="889" customFormat="1" ht="13.5" customHeight="1">
      <c r="A30" s="2753"/>
      <c r="B30" s="2758" t="s">
        <v>2534</v>
      </c>
      <c r="C30" s="698" t="s">
        <v>2535</v>
      </c>
      <c r="D30" s="699"/>
      <c r="E30" s="903"/>
      <c r="F30" s="904">
        <f t="shared" si="30"/>
        <v>0</v>
      </c>
      <c r="G30" s="913"/>
      <c r="H30" s="913"/>
      <c r="I30" s="913"/>
      <c r="J30" s="913"/>
      <c r="K30" s="913"/>
      <c r="L30" s="913"/>
      <c r="M30" s="913"/>
      <c r="N30" s="913"/>
      <c r="O30" s="913"/>
      <c r="P30" s="913"/>
      <c r="Q30" s="914"/>
    </row>
    <row r="31" spans="1:42" s="889" customFormat="1" ht="14">
      <c r="A31" s="2753"/>
      <c r="B31" s="2756"/>
      <c r="C31" s="698" t="s">
        <v>2536</v>
      </c>
      <c r="D31" s="699"/>
      <c r="E31" s="903"/>
      <c r="F31" s="904">
        <f t="shared" si="30"/>
        <v>0</v>
      </c>
      <c r="G31" s="913"/>
      <c r="H31" s="913"/>
      <c r="I31" s="913"/>
      <c r="J31" s="913"/>
      <c r="K31" s="913"/>
      <c r="L31" s="913"/>
      <c r="M31" s="913"/>
      <c r="N31" s="913"/>
      <c r="O31" s="913"/>
      <c r="P31" s="913"/>
      <c r="Q31" s="914"/>
    </row>
    <row r="32" spans="1:42" s="889" customFormat="1" ht="14">
      <c r="A32" s="2753"/>
      <c r="B32" s="2756"/>
      <c r="C32" s="699" t="s">
        <v>2537</v>
      </c>
      <c r="D32" s="699"/>
      <c r="E32" s="903"/>
      <c r="F32" s="904">
        <f t="shared" si="30"/>
        <v>0</v>
      </c>
      <c r="G32" s="913"/>
      <c r="H32" s="913"/>
      <c r="I32" s="913"/>
      <c r="J32" s="913"/>
      <c r="K32" s="913"/>
      <c r="L32" s="913"/>
      <c r="M32" s="913"/>
      <c r="N32" s="913"/>
      <c r="O32" s="913"/>
      <c r="P32" s="913"/>
      <c r="Q32" s="914"/>
    </row>
    <row r="33" spans="1:17" s="889" customFormat="1" ht="13.5" customHeight="1">
      <c r="A33" s="2753"/>
      <c r="B33" s="2756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5"/>
      <c r="O33" s="905"/>
      <c r="P33" s="905"/>
      <c r="Q33" s="906"/>
    </row>
    <row r="34" spans="1:17" s="889" customFormat="1" ht="14">
      <c r="A34" s="2753"/>
      <c r="B34" s="2756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5"/>
      <c r="O34" s="905"/>
      <c r="P34" s="905"/>
      <c r="Q34" s="906"/>
    </row>
    <row r="35" spans="1:17" s="889" customFormat="1" ht="14">
      <c r="A35" s="2753"/>
      <c r="B35" s="2756"/>
      <c r="C35" s="699" t="s">
        <v>2540</v>
      </c>
      <c r="D35" s="699"/>
      <c r="E35" s="903"/>
      <c r="F35" s="904">
        <f t="shared" ref="F35:F45" si="35">SUM(G35:Q35)</f>
        <v>0</v>
      </c>
      <c r="G35" s="913"/>
      <c r="H35" s="913"/>
      <c r="I35" s="913"/>
      <c r="J35" s="913"/>
      <c r="K35" s="913"/>
      <c r="L35" s="913"/>
      <c r="M35" s="913"/>
      <c r="N35" s="913"/>
      <c r="O35" s="913"/>
      <c r="P35" s="913"/>
      <c r="Q35" s="914"/>
    </row>
    <row r="36" spans="1:17" s="889" customFormat="1" ht="14">
      <c r="A36" s="2753"/>
      <c r="B36" s="2756"/>
      <c r="C36" s="930" t="s">
        <v>2541</v>
      </c>
      <c r="D36" s="699"/>
      <c r="E36" s="903"/>
      <c r="F36" s="904">
        <f t="shared" si="35"/>
        <v>0</v>
      </c>
      <c r="G36" s="913"/>
      <c r="H36" s="913"/>
      <c r="I36" s="913"/>
      <c r="J36" s="913"/>
      <c r="K36" s="913"/>
      <c r="L36" s="913"/>
      <c r="M36" s="913"/>
      <c r="N36" s="913"/>
      <c r="O36" s="913"/>
      <c r="P36" s="913"/>
      <c r="Q36" s="914"/>
    </row>
    <row r="37" spans="1:17" s="889" customFormat="1" ht="14">
      <c r="A37" s="2753"/>
      <c r="B37" s="2756"/>
      <c r="C37" s="931" t="s">
        <v>2542</v>
      </c>
      <c r="D37" s="699"/>
      <c r="E37" s="903"/>
      <c r="F37" s="904">
        <f t="shared" si="35"/>
        <v>0</v>
      </c>
      <c r="G37" s="913"/>
      <c r="H37" s="913"/>
      <c r="I37" s="913"/>
      <c r="J37" s="913"/>
      <c r="K37" s="913"/>
      <c r="L37" s="913"/>
      <c r="M37" s="913"/>
      <c r="N37" s="913"/>
      <c r="O37" s="913"/>
      <c r="P37" s="913"/>
      <c r="Q37" s="914"/>
    </row>
    <row r="38" spans="1:17" s="889" customFormat="1" ht="14">
      <c r="A38" s="2753"/>
      <c r="B38" s="2757"/>
      <c r="C38" s="699" t="s">
        <v>2543</v>
      </c>
      <c r="D38" s="699"/>
      <c r="E38" s="903"/>
      <c r="F38" s="904">
        <f t="shared" si="35"/>
        <v>0</v>
      </c>
      <c r="G38" s="913"/>
      <c r="H38" s="913"/>
      <c r="I38" s="913"/>
      <c r="J38" s="913"/>
      <c r="K38" s="913"/>
      <c r="L38" s="913"/>
      <c r="M38" s="913"/>
      <c r="N38" s="913"/>
      <c r="O38" s="913"/>
      <c r="P38" s="913"/>
      <c r="Q38" s="914"/>
    </row>
    <row r="39" spans="1:17" s="889" customFormat="1" ht="14">
      <c r="A39" s="2753"/>
      <c r="B39" s="2758" t="s">
        <v>2544</v>
      </c>
      <c r="C39" s="929" t="s">
        <v>2545</v>
      </c>
      <c r="D39" s="699"/>
      <c r="E39" s="903"/>
      <c r="F39" s="904">
        <f t="shared" si="35"/>
        <v>0</v>
      </c>
      <c r="G39" s="913"/>
      <c r="H39" s="913"/>
      <c r="I39" s="913"/>
      <c r="J39" s="913"/>
      <c r="K39" s="913"/>
      <c r="L39" s="913"/>
      <c r="M39" s="913"/>
      <c r="N39" s="913"/>
      <c r="O39" s="913"/>
      <c r="P39" s="913"/>
      <c r="Q39" s="914"/>
    </row>
    <row r="40" spans="1:17" s="889" customFormat="1" ht="14">
      <c r="A40" s="2753"/>
      <c r="B40" s="2756"/>
      <c r="C40" s="929" t="s">
        <v>2546</v>
      </c>
      <c r="D40" s="699"/>
      <c r="E40" s="903"/>
      <c r="F40" s="904">
        <f t="shared" si="35"/>
        <v>0</v>
      </c>
      <c r="G40" s="905">
        <f t="shared" ref="G40:Q40" si="36">+G24</f>
        <v>0</v>
      </c>
      <c r="H40" s="905">
        <f t="shared" si="36"/>
        <v>0</v>
      </c>
      <c r="I40" s="905">
        <f t="shared" si="36"/>
        <v>0</v>
      </c>
      <c r="J40" s="905">
        <f t="shared" ref="J40:L40" si="37">+J24</f>
        <v>0</v>
      </c>
      <c r="K40" s="905">
        <f t="shared" si="37"/>
        <v>0</v>
      </c>
      <c r="L40" s="905">
        <f t="shared" si="37"/>
        <v>0</v>
      </c>
      <c r="M40" s="905">
        <f t="shared" si="36"/>
        <v>0</v>
      </c>
      <c r="N40" s="905">
        <f t="shared" si="36"/>
        <v>0</v>
      </c>
      <c r="O40" s="905">
        <f t="shared" si="36"/>
        <v>0</v>
      </c>
      <c r="P40" s="905">
        <f t="shared" si="36"/>
        <v>0</v>
      </c>
      <c r="Q40" s="906">
        <f t="shared" si="36"/>
        <v>0</v>
      </c>
    </row>
    <row r="41" spans="1:17" s="889" customFormat="1" ht="14">
      <c r="A41" s="2753"/>
      <c r="B41" s="2756"/>
      <c r="C41" s="699" t="s">
        <v>2547</v>
      </c>
      <c r="D41" s="699"/>
      <c r="E41" s="903"/>
      <c r="F41" s="904">
        <f t="shared" si="35"/>
        <v>0</v>
      </c>
      <c r="G41" s="905">
        <f t="shared" ref="G41:Q41" si="38">+G23</f>
        <v>0</v>
      </c>
      <c r="H41" s="905">
        <f t="shared" si="38"/>
        <v>0</v>
      </c>
      <c r="I41" s="905">
        <f t="shared" si="38"/>
        <v>0</v>
      </c>
      <c r="J41" s="905">
        <f t="shared" ref="J41:L41" si="39">+J23</f>
        <v>0</v>
      </c>
      <c r="K41" s="905">
        <f t="shared" si="39"/>
        <v>0</v>
      </c>
      <c r="L41" s="905">
        <f t="shared" si="39"/>
        <v>0</v>
      </c>
      <c r="M41" s="905">
        <f t="shared" si="38"/>
        <v>0</v>
      </c>
      <c r="N41" s="905">
        <f t="shared" si="38"/>
        <v>0</v>
      </c>
      <c r="O41" s="905">
        <f t="shared" si="38"/>
        <v>0</v>
      </c>
      <c r="P41" s="905">
        <f t="shared" si="38"/>
        <v>0</v>
      </c>
      <c r="Q41" s="906">
        <f t="shared" si="38"/>
        <v>0</v>
      </c>
    </row>
    <row r="42" spans="1:17" s="889" customFormat="1" ht="14">
      <c r="A42" s="2753"/>
      <c r="B42" s="2756"/>
      <c r="C42" s="699" t="s">
        <v>2548</v>
      </c>
      <c r="D42" s="699"/>
      <c r="E42" s="903"/>
      <c r="F42" s="904">
        <f t="shared" si="35"/>
        <v>0</v>
      </c>
      <c r="G42" s="913"/>
      <c r="H42" s="913"/>
      <c r="I42" s="913"/>
      <c r="J42" s="913"/>
      <c r="K42" s="913"/>
      <c r="L42" s="913"/>
      <c r="M42" s="913"/>
      <c r="N42" s="913"/>
      <c r="O42" s="913"/>
      <c r="P42" s="913"/>
      <c r="Q42" s="914"/>
    </row>
    <row r="43" spans="1:17" s="889" customFormat="1" ht="13.5" customHeight="1">
      <c r="A43" s="2753"/>
      <c r="B43" s="2756"/>
      <c r="C43" s="932" t="s">
        <v>2549</v>
      </c>
      <c r="D43" s="933"/>
      <c r="E43" s="934"/>
      <c r="F43" s="904">
        <f t="shared" si="35"/>
        <v>18232718</v>
      </c>
      <c r="G43" s="935">
        <f>+G14</f>
        <v>1759829</v>
      </c>
      <c r="H43" s="935"/>
      <c r="I43" s="935">
        <f t="shared" ref="I43:L43" si="40">+I14</f>
        <v>0</v>
      </c>
      <c r="J43" s="935">
        <f t="shared" si="40"/>
        <v>5744720</v>
      </c>
      <c r="K43" s="935">
        <f t="shared" si="40"/>
        <v>98253</v>
      </c>
      <c r="L43" s="935">
        <f t="shared" si="40"/>
        <v>2137442</v>
      </c>
      <c r="M43" s="935"/>
      <c r="N43" s="935">
        <f>+N14</f>
        <v>6281560</v>
      </c>
      <c r="O43" s="935">
        <f t="shared" ref="O43:P43" si="41">+O14</f>
        <v>1085299</v>
      </c>
      <c r="P43" s="935">
        <f t="shared" si="41"/>
        <v>1125615</v>
      </c>
      <c r="Q43" s="936"/>
    </row>
    <row r="44" spans="1:17" s="889" customFormat="1" ht="14">
      <c r="A44" s="2753"/>
      <c r="B44" s="2756"/>
      <c r="C44" s="932" t="s">
        <v>2550</v>
      </c>
      <c r="D44" s="933"/>
      <c r="E44" s="934"/>
      <c r="F44" s="904">
        <f t="shared" si="35"/>
        <v>2880100</v>
      </c>
      <c r="G44" s="935">
        <f>+G22</f>
        <v>251933</v>
      </c>
      <c r="H44" s="935"/>
      <c r="I44" s="935">
        <f t="shared" ref="I44:L44" si="42">+I22</f>
        <v>0</v>
      </c>
      <c r="J44" s="935">
        <f t="shared" si="42"/>
        <v>860736</v>
      </c>
      <c r="K44" s="935">
        <f t="shared" si="42"/>
        <v>1683</v>
      </c>
      <c r="L44" s="935">
        <f t="shared" si="42"/>
        <v>403802</v>
      </c>
      <c r="M44" s="935"/>
      <c r="N44" s="935">
        <f>+N22</f>
        <v>1095555</v>
      </c>
      <c r="O44" s="935">
        <f t="shared" ref="O44:P44" si="43">+O22</f>
        <v>132205</v>
      </c>
      <c r="P44" s="935">
        <f t="shared" si="43"/>
        <v>134186</v>
      </c>
      <c r="Q44" s="936"/>
    </row>
    <row r="45" spans="1:17" s="889" customFormat="1" ht="14">
      <c r="A45" s="2754"/>
      <c r="B45" s="2759"/>
      <c r="C45" s="937" t="s">
        <v>2551</v>
      </c>
      <c r="D45" s="937"/>
      <c r="E45" s="938"/>
      <c r="F45" s="939">
        <f t="shared" si="35"/>
        <v>0</v>
      </c>
      <c r="G45" s="940"/>
      <c r="H45" s="940"/>
      <c r="I45" s="940"/>
      <c r="J45" s="940"/>
      <c r="K45" s="940"/>
      <c r="L45" s="940"/>
      <c r="M45" s="940"/>
      <c r="N45" s="940"/>
      <c r="O45" s="940"/>
      <c r="P45" s="940"/>
      <c r="Q45" s="941"/>
    </row>
    <row r="46" spans="1:17" s="839" customFormat="1" ht="13.5" customHeight="1">
      <c r="A46" s="2737" t="s">
        <v>2552</v>
      </c>
      <c r="B46" s="2738"/>
      <c r="C46" s="2739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5"/>
      <c r="O46" s="945"/>
      <c r="P46" s="945"/>
      <c r="Q46" s="946"/>
    </row>
    <row r="47" spans="1:17" s="952" customFormat="1" ht="14">
      <c r="A47" s="2740"/>
      <c r="B47" s="2741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Q47" si="44">+G414-G198</f>
        <v>0</v>
      </c>
      <c r="H47" s="950">
        <f t="shared" si="44"/>
        <v>0</v>
      </c>
      <c r="I47" s="950">
        <f t="shared" si="44"/>
        <v>0</v>
      </c>
      <c r="J47" s="950">
        <f t="shared" ref="J47:L47" si="45">+J414-J198</f>
        <v>0</v>
      </c>
      <c r="K47" s="950">
        <f t="shared" si="45"/>
        <v>0</v>
      </c>
      <c r="L47" s="950">
        <f t="shared" si="45"/>
        <v>0</v>
      </c>
      <c r="M47" s="950">
        <f t="shared" si="44"/>
        <v>0</v>
      </c>
      <c r="N47" s="950">
        <f t="shared" si="44"/>
        <v>0</v>
      </c>
      <c r="O47" s="950">
        <f t="shared" si="44"/>
        <v>0</v>
      </c>
      <c r="P47" s="950">
        <f t="shared" si="44"/>
        <v>0</v>
      </c>
      <c r="Q47" s="951">
        <f t="shared" si="44"/>
        <v>0</v>
      </c>
    </row>
    <row r="48" spans="1:17" s="952" customFormat="1" ht="14">
      <c r="A48" s="2740"/>
      <c r="B48" s="2742"/>
      <c r="C48" s="953" t="s">
        <v>2531</v>
      </c>
      <c r="D48" s="948"/>
      <c r="E48" s="949"/>
      <c r="F48" s="950">
        <f t="shared" ref="F48:Q53" si="46">F416-F200</f>
        <v>0</v>
      </c>
      <c r="G48" s="950">
        <f t="shared" si="46"/>
        <v>0</v>
      </c>
      <c r="H48" s="950">
        <f t="shared" si="46"/>
        <v>0</v>
      </c>
      <c r="I48" s="950">
        <f t="shared" si="46"/>
        <v>0</v>
      </c>
      <c r="J48" s="950">
        <f t="shared" ref="J48:L48" si="47">J416-J200</f>
        <v>0</v>
      </c>
      <c r="K48" s="950">
        <f t="shared" si="47"/>
        <v>0</v>
      </c>
      <c r="L48" s="950">
        <f t="shared" si="47"/>
        <v>0</v>
      </c>
      <c r="M48" s="950">
        <f t="shared" si="46"/>
        <v>0</v>
      </c>
      <c r="N48" s="950">
        <f t="shared" si="46"/>
        <v>0</v>
      </c>
      <c r="O48" s="950">
        <f t="shared" si="46"/>
        <v>0</v>
      </c>
      <c r="P48" s="950">
        <f t="shared" si="46"/>
        <v>0</v>
      </c>
      <c r="Q48" s="951">
        <f t="shared" si="46"/>
        <v>0</v>
      </c>
    </row>
    <row r="49" spans="1:17" s="952" customFormat="1" ht="14">
      <c r="A49" s="2740"/>
      <c r="B49" s="2742"/>
      <c r="C49" s="953" t="s">
        <v>2553</v>
      </c>
      <c r="D49" s="948"/>
      <c r="E49" s="954"/>
      <c r="F49" s="950">
        <f t="shared" si="46"/>
        <v>0</v>
      </c>
      <c r="G49" s="950">
        <f t="shared" si="46"/>
        <v>0</v>
      </c>
      <c r="H49" s="950">
        <f t="shared" si="46"/>
        <v>0</v>
      </c>
      <c r="I49" s="950">
        <f t="shared" si="46"/>
        <v>0</v>
      </c>
      <c r="J49" s="950">
        <f t="shared" ref="J49:L49" si="48">J417-J201</f>
        <v>0</v>
      </c>
      <c r="K49" s="950">
        <f t="shared" si="48"/>
        <v>0</v>
      </c>
      <c r="L49" s="950">
        <f t="shared" si="48"/>
        <v>0</v>
      </c>
      <c r="M49" s="950">
        <f t="shared" si="46"/>
        <v>0</v>
      </c>
      <c r="N49" s="950">
        <f t="shared" si="46"/>
        <v>0</v>
      </c>
      <c r="O49" s="950">
        <f t="shared" si="46"/>
        <v>0</v>
      </c>
      <c r="P49" s="950">
        <f t="shared" si="46"/>
        <v>0</v>
      </c>
      <c r="Q49" s="951">
        <f t="shared" si="46"/>
        <v>0</v>
      </c>
    </row>
    <row r="50" spans="1:17" s="952" customFormat="1" ht="14">
      <c r="A50" s="2740"/>
      <c r="B50" s="2743"/>
      <c r="C50" s="953" t="s">
        <v>2554</v>
      </c>
      <c r="D50" s="948"/>
      <c r="E50" s="954"/>
      <c r="F50" s="950">
        <f t="shared" si="46"/>
        <v>0</v>
      </c>
      <c r="G50" s="950">
        <f t="shared" si="46"/>
        <v>0</v>
      </c>
      <c r="H50" s="950">
        <f t="shared" si="46"/>
        <v>0</v>
      </c>
      <c r="I50" s="950">
        <f t="shared" si="46"/>
        <v>0</v>
      </c>
      <c r="J50" s="950">
        <f t="shared" ref="J50:L50" si="49">J418-J202</f>
        <v>0</v>
      </c>
      <c r="K50" s="950">
        <f t="shared" si="49"/>
        <v>0</v>
      </c>
      <c r="L50" s="950">
        <f t="shared" si="49"/>
        <v>0</v>
      </c>
      <c r="M50" s="950">
        <f t="shared" si="46"/>
        <v>0</v>
      </c>
      <c r="N50" s="950">
        <f t="shared" si="46"/>
        <v>0</v>
      </c>
      <c r="O50" s="950">
        <f t="shared" si="46"/>
        <v>0</v>
      </c>
      <c r="P50" s="950">
        <f t="shared" si="46"/>
        <v>0</v>
      </c>
      <c r="Q50" s="951">
        <f t="shared" si="46"/>
        <v>0</v>
      </c>
    </row>
    <row r="51" spans="1:17" s="952" customFormat="1" ht="14">
      <c r="A51" s="2740"/>
      <c r="B51" s="2744" t="s">
        <v>2555</v>
      </c>
      <c r="C51" s="953" t="s">
        <v>2556</v>
      </c>
      <c r="D51" s="948">
        <v>1</v>
      </c>
      <c r="E51" s="954">
        <v>0.02</v>
      </c>
      <c r="F51" s="950">
        <f t="shared" si="46"/>
        <v>0</v>
      </c>
      <c r="G51" s="950">
        <f t="shared" si="46"/>
        <v>0</v>
      </c>
      <c r="H51" s="950">
        <f t="shared" si="46"/>
        <v>0</v>
      </c>
      <c r="I51" s="950">
        <f t="shared" si="46"/>
        <v>0</v>
      </c>
      <c r="J51" s="950">
        <f t="shared" ref="J51:L51" si="50">J419-J203</f>
        <v>0</v>
      </c>
      <c r="K51" s="950">
        <f t="shared" si="50"/>
        <v>0</v>
      </c>
      <c r="L51" s="950">
        <f t="shared" si="50"/>
        <v>0</v>
      </c>
      <c r="M51" s="950">
        <f t="shared" si="46"/>
        <v>0</v>
      </c>
      <c r="N51" s="950">
        <f t="shared" si="46"/>
        <v>0</v>
      </c>
      <c r="O51" s="950">
        <f t="shared" si="46"/>
        <v>0</v>
      </c>
      <c r="P51" s="950">
        <f t="shared" si="46"/>
        <v>0</v>
      </c>
      <c r="Q51" s="951">
        <f t="shared" si="46"/>
        <v>0</v>
      </c>
    </row>
    <row r="52" spans="1:17" s="952" customFormat="1" ht="14">
      <c r="A52" s="2740"/>
      <c r="B52" s="2742"/>
      <c r="C52" s="953" t="s">
        <v>2536</v>
      </c>
      <c r="D52" s="948">
        <v>1</v>
      </c>
      <c r="E52" s="954">
        <v>0.02</v>
      </c>
      <c r="F52" s="950">
        <f t="shared" si="46"/>
        <v>0</v>
      </c>
      <c r="G52" s="950">
        <f t="shared" si="46"/>
        <v>0</v>
      </c>
      <c r="H52" s="950">
        <f t="shared" si="46"/>
        <v>0</v>
      </c>
      <c r="I52" s="950">
        <f t="shared" si="46"/>
        <v>0</v>
      </c>
      <c r="J52" s="950">
        <f t="shared" ref="J52:L52" si="51">J420-J204</f>
        <v>0</v>
      </c>
      <c r="K52" s="950">
        <f t="shared" si="51"/>
        <v>0</v>
      </c>
      <c r="L52" s="950">
        <f t="shared" si="51"/>
        <v>0</v>
      </c>
      <c r="M52" s="950">
        <f t="shared" si="46"/>
        <v>0</v>
      </c>
      <c r="N52" s="950">
        <f t="shared" si="46"/>
        <v>0</v>
      </c>
      <c r="O52" s="950">
        <f t="shared" si="46"/>
        <v>0</v>
      </c>
      <c r="P52" s="950">
        <f t="shared" si="46"/>
        <v>0</v>
      </c>
      <c r="Q52" s="951">
        <f t="shared" si="46"/>
        <v>0</v>
      </c>
    </row>
    <row r="53" spans="1:17" s="952" customFormat="1" ht="14">
      <c r="A53" s="2740"/>
      <c r="B53" s="2742"/>
      <c r="C53" s="953" t="s">
        <v>2537</v>
      </c>
      <c r="D53" s="948">
        <v>1</v>
      </c>
      <c r="E53" s="954">
        <v>0.02</v>
      </c>
      <c r="F53" s="950">
        <f t="shared" si="46"/>
        <v>0</v>
      </c>
      <c r="G53" s="950">
        <f t="shared" si="46"/>
        <v>0</v>
      </c>
      <c r="H53" s="950">
        <f t="shared" si="46"/>
        <v>0</v>
      </c>
      <c r="I53" s="950">
        <f t="shared" si="46"/>
        <v>0</v>
      </c>
      <c r="J53" s="950">
        <f t="shared" ref="J53:L53" si="52">J421-J205</f>
        <v>0</v>
      </c>
      <c r="K53" s="950">
        <f t="shared" si="52"/>
        <v>0</v>
      </c>
      <c r="L53" s="950">
        <f t="shared" si="52"/>
        <v>0</v>
      </c>
      <c r="M53" s="950">
        <f t="shared" si="46"/>
        <v>0</v>
      </c>
      <c r="N53" s="950">
        <f t="shared" si="46"/>
        <v>0</v>
      </c>
      <c r="O53" s="950">
        <f t="shared" si="46"/>
        <v>0</v>
      </c>
      <c r="P53" s="950">
        <f t="shared" si="46"/>
        <v>0</v>
      </c>
      <c r="Q53" s="951">
        <f t="shared" si="46"/>
        <v>0</v>
      </c>
    </row>
    <row r="54" spans="1:17" s="952" customFormat="1" ht="14">
      <c r="A54" s="2740"/>
      <c r="B54" s="2742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Q54" si="53">G424-G208</f>
        <v>0</v>
      </c>
      <c r="H54" s="950">
        <f t="shared" si="53"/>
        <v>0</v>
      </c>
      <c r="I54" s="950">
        <f t="shared" si="53"/>
        <v>0</v>
      </c>
      <c r="J54" s="950">
        <f t="shared" ref="J54:L54" si="54">J424-J208</f>
        <v>0</v>
      </c>
      <c r="K54" s="950">
        <f t="shared" si="54"/>
        <v>0</v>
      </c>
      <c r="L54" s="950">
        <f t="shared" si="54"/>
        <v>0</v>
      </c>
      <c r="M54" s="950">
        <f t="shared" si="53"/>
        <v>0</v>
      </c>
      <c r="N54" s="950">
        <f t="shared" si="53"/>
        <v>0</v>
      </c>
      <c r="O54" s="950">
        <f t="shared" si="53"/>
        <v>0</v>
      </c>
      <c r="P54" s="950">
        <f t="shared" si="53"/>
        <v>0</v>
      </c>
      <c r="Q54" s="951">
        <f t="shared" si="53"/>
        <v>0</v>
      </c>
    </row>
    <row r="55" spans="1:17" s="952" customFormat="1" ht="14">
      <c r="A55" s="2740"/>
      <c r="B55" s="2742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0"/>
      <c r="O55" s="910"/>
      <c r="P55" s="910"/>
      <c r="Q55" s="911"/>
    </row>
    <row r="56" spans="1:17" s="952" customFormat="1" ht="14">
      <c r="A56" s="2740"/>
      <c r="B56" s="2742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0"/>
      <c r="O56" s="910"/>
      <c r="P56" s="910"/>
      <c r="Q56" s="911"/>
    </row>
    <row r="57" spans="1:17" s="952" customFormat="1" ht="14">
      <c r="A57" s="2740"/>
      <c r="B57" s="2743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Q57" si="55">G427-G211</f>
        <v>0</v>
      </c>
      <c r="H57" s="950">
        <f t="shared" si="55"/>
        <v>0</v>
      </c>
      <c r="I57" s="950">
        <f t="shared" si="55"/>
        <v>0</v>
      </c>
      <c r="J57" s="950">
        <f t="shared" ref="J57:L57" si="56">J427-J211</f>
        <v>0</v>
      </c>
      <c r="K57" s="950">
        <f t="shared" si="56"/>
        <v>0</v>
      </c>
      <c r="L57" s="950">
        <f t="shared" si="56"/>
        <v>0</v>
      </c>
      <c r="M57" s="950">
        <f t="shared" si="55"/>
        <v>0</v>
      </c>
      <c r="N57" s="950">
        <f t="shared" si="55"/>
        <v>0</v>
      </c>
      <c r="O57" s="950">
        <f t="shared" si="55"/>
        <v>0</v>
      </c>
      <c r="P57" s="950">
        <f t="shared" si="55"/>
        <v>0</v>
      </c>
      <c r="Q57" s="951">
        <f t="shared" si="55"/>
        <v>0</v>
      </c>
    </row>
    <row r="58" spans="1:17" s="952" customFormat="1" ht="14">
      <c r="A58" s="2740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Q58" si="57">G430-G214</f>
        <v>0</v>
      </c>
      <c r="H58" s="950">
        <f t="shared" si="57"/>
        <v>0</v>
      </c>
      <c r="I58" s="950">
        <f t="shared" si="57"/>
        <v>0</v>
      </c>
      <c r="J58" s="950">
        <f t="shared" ref="J58:L58" si="58">J430-J214</f>
        <v>0</v>
      </c>
      <c r="K58" s="950">
        <f t="shared" si="58"/>
        <v>0</v>
      </c>
      <c r="L58" s="950">
        <f t="shared" si="58"/>
        <v>0</v>
      </c>
      <c r="M58" s="950">
        <f t="shared" si="57"/>
        <v>0</v>
      </c>
      <c r="N58" s="950">
        <f t="shared" si="57"/>
        <v>0</v>
      </c>
      <c r="O58" s="950">
        <f t="shared" si="57"/>
        <v>0</v>
      </c>
      <c r="P58" s="950">
        <f t="shared" si="57"/>
        <v>0</v>
      </c>
      <c r="Q58" s="951">
        <f t="shared" si="57"/>
        <v>0</v>
      </c>
    </row>
    <row r="59" spans="1:17" s="839" customFormat="1" ht="14">
      <c r="A59" s="2740"/>
      <c r="B59" s="958" t="s">
        <v>2561</v>
      </c>
      <c r="C59" s="959" t="s">
        <v>2562</v>
      </c>
      <c r="D59" s="948">
        <v>1</v>
      </c>
      <c r="E59" s="954"/>
      <c r="F59" s="950">
        <f>SUM(G59:Q59)</f>
        <v>2522211</v>
      </c>
      <c r="G59" s="935">
        <f>+'変更諸経費表 (東梅田)'!G66</f>
        <v>50358</v>
      </c>
      <c r="H59" s="935"/>
      <c r="I59" s="935">
        <f>+'変更諸経費表 (東梅田)'!I66</f>
        <v>0</v>
      </c>
      <c r="J59" s="935">
        <f>+'変更諸経費表 (東梅田)'!J66</f>
        <v>617817</v>
      </c>
      <c r="K59" s="935">
        <f>+'変更諸経費表 (東梅田)'!K66</f>
        <v>-11739</v>
      </c>
      <c r="L59" s="935">
        <f>+'変更諸経費表 (堺筋本町)'!G66</f>
        <v>168129</v>
      </c>
      <c r="M59" s="935"/>
      <c r="N59" s="935">
        <f>+'変更諸経費表 (堺筋本町)'!I66</f>
        <v>657728</v>
      </c>
      <c r="O59" s="935">
        <f>+工事6!I20</f>
        <v>511139</v>
      </c>
      <c r="P59" s="935">
        <f>+工事7!I20</f>
        <v>528779</v>
      </c>
      <c r="Q59" s="936"/>
    </row>
    <row r="60" spans="1:17" s="839" customFormat="1" ht="14">
      <c r="A60" s="2740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5"/>
      <c r="O60" s="965"/>
      <c r="P60" s="965"/>
      <c r="Q60" s="966"/>
    </row>
    <row r="61" spans="1:17" s="839" customFormat="1" ht="14">
      <c r="A61" s="967"/>
      <c r="B61" s="2745" t="s">
        <v>2565</v>
      </c>
      <c r="C61" s="2746"/>
      <c r="D61" s="968"/>
      <c r="E61" s="969"/>
      <c r="F61" s="970">
        <f>SUM(G61:Q61)</f>
        <v>2522211</v>
      </c>
      <c r="G61" s="971">
        <f>SUM(G47:G60)</f>
        <v>50358</v>
      </c>
      <c r="H61" s="971">
        <f t="shared" ref="H61:Q61" si="59">SUM(H47:H60)</f>
        <v>0</v>
      </c>
      <c r="I61" s="971">
        <f t="shared" si="59"/>
        <v>0</v>
      </c>
      <c r="J61" s="971">
        <f t="shared" ref="J61:L61" si="60">SUM(J47:J60)</f>
        <v>617817</v>
      </c>
      <c r="K61" s="971">
        <f t="shared" si="60"/>
        <v>-11739</v>
      </c>
      <c r="L61" s="971">
        <f t="shared" si="60"/>
        <v>168129</v>
      </c>
      <c r="M61" s="971">
        <f t="shared" si="59"/>
        <v>0</v>
      </c>
      <c r="N61" s="971">
        <f t="shared" si="59"/>
        <v>657728</v>
      </c>
      <c r="O61" s="971">
        <f t="shared" si="59"/>
        <v>511139</v>
      </c>
      <c r="P61" s="971">
        <f t="shared" si="59"/>
        <v>528779</v>
      </c>
      <c r="Q61" s="972">
        <f t="shared" si="59"/>
        <v>0</v>
      </c>
    </row>
    <row r="62" spans="1:17" s="839" customFormat="1" ht="14" hidden="1">
      <c r="A62" s="967"/>
      <c r="B62" s="2745" t="s">
        <v>2566</v>
      </c>
      <c r="C62" s="2746"/>
      <c r="D62" s="968"/>
      <c r="E62" s="969"/>
      <c r="F62" s="970">
        <f>SUM(G62:Q62)</f>
        <v>0</v>
      </c>
      <c r="G62" s="973">
        <f>IF(G59="",IF(G14+G22=0,IF(G8=G84,G61,0),0),0)</f>
        <v>0</v>
      </c>
      <c r="H62" s="973">
        <f t="shared" ref="H62:Q62" si="61">IF(H59="",IF(H14+H22=0,IF(H8=H84,H61,0),0),0)</f>
        <v>0</v>
      </c>
      <c r="I62" s="973">
        <f t="shared" si="61"/>
        <v>0</v>
      </c>
      <c r="J62" s="973">
        <f t="shared" ref="J62:L62" si="62">IF(J59="",IF(J14+J22=0,IF(J8=J84,J61,0),0),0)</f>
        <v>0</v>
      </c>
      <c r="K62" s="973">
        <f t="shared" si="62"/>
        <v>0</v>
      </c>
      <c r="L62" s="973">
        <f t="shared" si="62"/>
        <v>0</v>
      </c>
      <c r="M62" s="973">
        <f t="shared" si="61"/>
        <v>0</v>
      </c>
      <c r="N62" s="973">
        <f t="shared" si="61"/>
        <v>0</v>
      </c>
      <c r="O62" s="973">
        <f t="shared" si="61"/>
        <v>0</v>
      </c>
      <c r="P62" s="973">
        <f t="shared" si="61"/>
        <v>0</v>
      </c>
      <c r="Q62" s="973">
        <f t="shared" si="61"/>
        <v>0</v>
      </c>
    </row>
    <row r="63" spans="1:17" s="839" customFormat="1" ht="13.5" hidden="1" customHeight="1">
      <c r="A63" s="967"/>
      <c r="B63" s="2745" t="s">
        <v>2567</v>
      </c>
      <c r="C63" s="2746"/>
      <c r="D63" s="968"/>
      <c r="E63" s="969"/>
      <c r="F63" s="970">
        <f>SUM(G63:Q63)</f>
        <v>424133</v>
      </c>
      <c r="G63" s="974">
        <f t="shared" ref="G63:Q63" si="63">G13-(G43+G44)</f>
        <v>21894</v>
      </c>
      <c r="H63" s="974">
        <f t="shared" si="63"/>
        <v>0</v>
      </c>
      <c r="I63" s="974">
        <f t="shared" si="63"/>
        <v>0</v>
      </c>
      <c r="J63" s="974">
        <f t="shared" ref="J63:L63" si="64">J13-(J43+J44)</f>
        <v>170368</v>
      </c>
      <c r="K63" s="974">
        <f t="shared" si="64"/>
        <v>62</v>
      </c>
      <c r="L63" s="974">
        <f t="shared" si="64"/>
        <v>48370</v>
      </c>
      <c r="M63" s="974">
        <f t="shared" si="63"/>
        <v>0</v>
      </c>
      <c r="N63" s="974">
        <f t="shared" si="63"/>
        <v>183439</v>
      </c>
      <c r="O63" s="974">
        <f t="shared" si="63"/>
        <v>0</v>
      </c>
      <c r="P63" s="974">
        <f t="shared" si="63"/>
        <v>0</v>
      </c>
      <c r="Q63" s="974">
        <f t="shared" si="63"/>
        <v>0</v>
      </c>
    </row>
    <row r="64" spans="1:17" s="839" customFormat="1" ht="14" hidden="1">
      <c r="A64" s="967"/>
      <c r="B64" s="2745" t="s">
        <v>2568</v>
      </c>
      <c r="C64" s="2746"/>
      <c r="D64" s="968"/>
      <c r="E64" s="969"/>
      <c r="F64" s="970">
        <f>SUM(G64:Q64)</f>
        <v>0</v>
      </c>
      <c r="G64" s="971">
        <f>IF($F$62=0,0,(IF(G62=0,INT(G63/$F63*$F62),0)))</f>
        <v>0</v>
      </c>
      <c r="H64" s="971">
        <f t="shared" ref="H64:Q64" si="65">IF($F$62=0,0,(IF(H62=0,INT(H63/$F63*$F62),0)))</f>
        <v>0</v>
      </c>
      <c r="I64" s="971">
        <f t="shared" si="65"/>
        <v>0</v>
      </c>
      <c r="J64" s="971">
        <f t="shared" ref="J64:L64" si="66">IF($F$62=0,0,(IF(J62=0,INT(J63/$F63*$F62),0)))</f>
        <v>0</v>
      </c>
      <c r="K64" s="971">
        <f t="shared" si="66"/>
        <v>0</v>
      </c>
      <c r="L64" s="971">
        <f t="shared" si="66"/>
        <v>0</v>
      </c>
      <c r="M64" s="971">
        <f t="shared" si="65"/>
        <v>0</v>
      </c>
      <c r="N64" s="971">
        <f t="shared" si="65"/>
        <v>0</v>
      </c>
      <c r="O64" s="971">
        <f t="shared" si="65"/>
        <v>0</v>
      </c>
      <c r="P64" s="971">
        <f t="shared" si="65"/>
        <v>0</v>
      </c>
      <c r="Q64" s="971">
        <f t="shared" si="65"/>
        <v>0</v>
      </c>
    </row>
    <row r="65" spans="1:17" s="839" customFormat="1" ht="14" hidden="1">
      <c r="A65" s="967"/>
      <c r="B65" s="2745" t="s">
        <v>2569</v>
      </c>
      <c r="C65" s="2746"/>
      <c r="D65" s="968"/>
      <c r="E65" s="969"/>
      <c r="F65" s="970">
        <f>F62-F64</f>
        <v>0</v>
      </c>
      <c r="G65" s="971">
        <f>IF($F65=0,0,IF(G64=0,0,$F65))</f>
        <v>0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IF($F65=0,0,IF(J64=0,0,IF(SUM(F65:$G65)=0,$F65,0)))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IF($F65=0,0,IF(M64=0,0,IF(SUM($G65:I65)=0,$F65,0)))</f>
        <v>0</v>
      </c>
      <c r="N65" s="971">
        <f>IF($F65=0,0,IF(N64=0,0,IF(SUM($G65:M65)=0,$F65,0)))</f>
        <v>0</v>
      </c>
      <c r="O65" s="971">
        <f>IF($F65=0,0,IF(O64=0,0,IF(SUM($G65:N65)=0,$F65,0)))</f>
        <v>0</v>
      </c>
      <c r="P65" s="971">
        <f>IF($F65=0,0,IF(P64=0,0,IF(SUM($G65:O65)=0,$F65,0)))</f>
        <v>0</v>
      </c>
      <c r="Q65" s="971">
        <f>IF($F65=0,0,IF(Q64=0,0,IF(SUM($G65:P65)=0,$F65,0)))</f>
        <v>0</v>
      </c>
    </row>
    <row r="66" spans="1:17" s="2612" customFormat="1" ht="13.5" customHeight="1">
      <c r="A66" s="2607"/>
      <c r="B66" s="2763" t="s">
        <v>2570</v>
      </c>
      <c r="C66" s="2764"/>
      <c r="D66" s="2608"/>
      <c r="E66" s="2609"/>
      <c r="F66" s="2610">
        <f>SUM(G66:Q66)</f>
        <v>2522211</v>
      </c>
      <c r="G66" s="2611">
        <f>IF(G59="",IF(G14+G22=0,IF(G8=G84,0,G61+G64+G65),G61+G64+G65),G59)</f>
        <v>50358</v>
      </c>
      <c r="H66" s="2611">
        <f t="shared" ref="H66:Q66" si="67">IF(H59="",IF(H14+H22=0,IF(H8=H84,0,H61+H64+H65),H61+H64+H65),H59)</f>
        <v>0</v>
      </c>
      <c r="I66" s="2611">
        <f t="shared" si="67"/>
        <v>0</v>
      </c>
      <c r="J66" s="2611">
        <f t="shared" ref="J66:L66" si="68">IF(J59="",IF(J14+J22=0,IF(J8=J84,0,J61+J64+J65),J61+J64+J65),J59)</f>
        <v>617817</v>
      </c>
      <c r="K66" s="2611">
        <f t="shared" si="68"/>
        <v>-11739</v>
      </c>
      <c r="L66" s="2611">
        <f t="shared" si="68"/>
        <v>168129</v>
      </c>
      <c r="M66" s="2611">
        <f t="shared" si="67"/>
        <v>0</v>
      </c>
      <c r="N66" s="2611">
        <f t="shared" si="67"/>
        <v>657728</v>
      </c>
      <c r="O66" s="2611">
        <f t="shared" si="67"/>
        <v>511139</v>
      </c>
      <c r="P66" s="2611">
        <f t="shared" si="67"/>
        <v>528779</v>
      </c>
      <c r="Q66" s="2611">
        <f t="shared" si="67"/>
        <v>0</v>
      </c>
    </row>
    <row r="67" spans="1:17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SUM(G67:Q67)</f>
        <v>24059162</v>
      </c>
      <c r="G67" s="981">
        <f t="shared" ref="G67:Q67" si="69">G13-G45+G66</f>
        <v>2084014</v>
      </c>
      <c r="H67" s="981">
        <f t="shared" si="69"/>
        <v>0</v>
      </c>
      <c r="I67" s="981">
        <f t="shared" si="69"/>
        <v>0</v>
      </c>
      <c r="J67" s="981">
        <f t="shared" ref="J67:L67" si="70">J13-J45+J66</f>
        <v>7393641</v>
      </c>
      <c r="K67" s="981">
        <f t="shared" si="70"/>
        <v>88259</v>
      </c>
      <c r="L67" s="981">
        <f t="shared" si="70"/>
        <v>2757743</v>
      </c>
      <c r="M67" s="981">
        <f t="shared" si="69"/>
        <v>0</v>
      </c>
      <c r="N67" s="981">
        <f t="shared" si="69"/>
        <v>8218282</v>
      </c>
      <c r="O67" s="981">
        <f t="shared" si="69"/>
        <v>1728643</v>
      </c>
      <c r="P67" s="981">
        <f t="shared" si="69"/>
        <v>1788580</v>
      </c>
      <c r="Q67" s="981">
        <f t="shared" si="69"/>
        <v>0</v>
      </c>
    </row>
    <row r="68" spans="1:17" s="839" customFormat="1" ht="14">
      <c r="A68" s="982"/>
      <c r="B68" s="2765" t="s">
        <v>2573</v>
      </c>
      <c r="C68" s="276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6"/>
      <c r="O68" s="986"/>
      <c r="P68" s="986"/>
      <c r="Q68" s="987"/>
    </row>
    <row r="69" spans="1:17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2381193</v>
      </c>
      <c r="G69" s="992">
        <f>+G463-G248</f>
        <v>208274</v>
      </c>
      <c r="H69" s="992">
        <f t="shared" ref="H69:Q69" si="71">+H463-H248</f>
        <v>-20666</v>
      </c>
      <c r="I69" s="992">
        <f t="shared" si="71"/>
        <v>-1976</v>
      </c>
      <c r="J69" s="992">
        <f t="shared" ref="J69:K69" si="72">+J463-J248</f>
        <v>737277</v>
      </c>
      <c r="K69" s="992">
        <f t="shared" si="72"/>
        <v>672</v>
      </c>
      <c r="L69" s="992">
        <f>+L463-L248</f>
        <v>272931</v>
      </c>
      <c r="M69" s="992">
        <f t="shared" si="71"/>
        <v>-26587</v>
      </c>
      <c r="N69" s="992">
        <f t="shared" si="71"/>
        <v>802884</v>
      </c>
      <c r="O69" s="992">
        <f>+O463-O248</f>
        <v>200712</v>
      </c>
      <c r="P69" s="992">
        <f t="shared" si="71"/>
        <v>207672</v>
      </c>
      <c r="Q69" s="993">
        <f t="shared" si="71"/>
        <v>0</v>
      </c>
    </row>
    <row r="70" spans="1:17" s="839" customFormat="1" ht="13.5" hidden="1" customHeight="1">
      <c r="A70" s="967"/>
      <c r="B70" s="2745" t="s">
        <v>2566</v>
      </c>
      <c r="C70" s="2746"/>
      <c r="D70" s="968"/>
      <c r="E70" s="969"/>
      <c r="F70" s="970">
        <f>SUM(G70:Q70)</f>
        <v>-49229</v>
      </c>
      <c r="G70" s="994">
        <f>IF(G67=0,G69,0)</f>
        <v>0</v>
      </c>
      <c r="H70" s="994">
        <f t="shared" ref="H70:Q70" si="73">IF(H67=0,H69,0)</f>
        <v>-20666</v>
      </c>
      <c r="I70" s="994">
        <f t="shared" si="73"/>
        <v>-1976</v>
      </c>
      <c r="J70" s="994">
        <f t="shared" ref="J70" si="74">IF(J67=0,J69,0)</f>
        <v>0</v>
      </c>
      <c r="K70" s="994">
        <f>IF(K67=0,K69,0)</f>
        <v>0</v>
      </c>
      <c r="L70" s="994">
        <f t="shared" ref="L70" si="75">IF(L67=0,L69,0)</f>
        <v>0</v>
      </c>
      <c r="M70" s="994">
        <f t="shared" si="73"/>
        <v>-26587</v>
      </c>
      <c r="N70" s="994">
        <f>IF(N67=0,N69,0)</f>
        <v>0</v>
      </c>
      <c r="O70" s="994">
        <f t="shared" si="73"/>
        <v>0</v>
      </c>
      <c r="P70" s="994">
        <f t="shared" si="73"/>
        <v>0</v>
      </c>
      <c r="Q70" s="994">
        <f t="shared" si="73"/>
        <v>0</v>
      </c>
    </row>
    <row r="71" spans="1:17" s="839" customFormat="1" ht="13.5" hidden="1" customHeight="1">
      <c r="A71" s="967"/>
      <c r="B71" s="2745" t="s">
        <v>2575</v>
      </c>
      <c r="C71" s="2746"/>
      <c r="D71" s="968"/>
      <c r="E71" s="969"/>
      <c r="F71" s="970">
        <f>SUM(G71:Q71)</f>
        <v>24059162</v>
      </c>
      <c r="G71" s="995">
        <f>IF(G68=0,G67,G67-(G43+G44+G59))</f>
        <v>2084014</v>
      </c>
      <c r="H71" s="995">
        <f>IF(H68=0,H67,H67-(H43+H44+H59))</f>
        <v>0</v>
      </c>
      <c r="I71" s="995">
        <f t="shared" ref="I71:Q71" si="76">IF(I68=0,I67,I67-(I43+I44+I59))</f>
        <v>0</v>
      </c>
      <c r="J71" s="995">
        <f t="shared" ref="J71:L71" si="77">IF(J68=0,J67,J67-(J43+J44+J59))</f>
        <v>7393641</v>
      </c>
      <c r="K71" s="995">
        <f t="shared" si="77"/>
        <v>88259</v>
      </c>
      <c r="L71" s="995">
        <f t="shared" si="77"/>
        <v>2757743</v>
      </c>
      <c r="M71" s="995">
        <f t="shared" si="76"/>
        <v>0</v>
      </c>
      <c r="N71" s="995">
        <f t="shared" si="76"/>
        <v>8218282</v>
      </c>
      <c r="O71" s="995">
        <f t="shared" si="76"/>
        <v>1728643</v>
      </c>
      <c r="P71" s="995">
        <f t="shared" si="76"/>
        <v>1788580</v>
      </c>
      <c r="Q71" s="995">
        <f t="shared" si="76"/>
        <v>0</v>
      </c>
    </row>
    <row r="72" spans="1:17" s="839" customFormat="1" ht="13.5" hidden="1" customHeight="1">
      <c r="A72" s="967"/>
      <c r="B72" s="2745" t="s">
        <v>2576</v>
      </c>
      <c r="C72" s="2746"/>
      <c r="D72" s="968"/>
      <c r="E72" s="969"/>
      <c r="F72" s="970">
        <f>SUM(G72:Q72)</f>
        <v>-49232</v>
      </c>
      <c r="G72" s="971">
        <f>IF($F$71=0,0,(INT(G71/$F71*$F70)))</f>
        <v>-4265</v>
      </c>
      <c r="H72" s="971">
        <f t="shared" ref="H72:Q72" si="78">IF($F$71=0,0,(INT(H71/$F71*$F70)))</f>
        <v>0</v>
      </c>
      <c r="I72" s="971">
        <f t="shared" si="78"/>
        <v>0</v>
      </c>
      <c r="J72" s="971">
        <f t="shared" ref="J72:L72" si="79">IF($F$71=0,0,(INT(J71/$F71*$F70)))</f>
        <v>-15129</v>
      </c>
      <c r="K72" s="971">
        <f t="shared" si="79"/>
        <v>-181</v>
      </c>
      <c r="L72" s="971">
        <f t="shared" si="79"/>
        <v>-5643</v>
      </c>
      <c r="M72" s="971">
        <f t="shared" si="78"/>
        <v>0</v>
      </c>
      <c r="N72" s="971">
        <f t="shared" si="78"/>
        <v>-16816</v>
      </c>
      <c r="O72" s="971">
        <f t="shared" si="78"/>
        <v>-3538</v>
      </c>
      <c r="P72" s="971">
        <f t="shared" si="78"/>
        <v>-3660</v>
      </c>
      <c r="Q72" s="971">
        <f t="shared" si="78"/>
        <v>0</v>
      </c>
    </row>
    <row r="73" spans="1:17" s="839" customFormat="1" ht="13.5" hidden="1" customHeight="1">
      <c r="A73" s="967"/>
      <c r="B73" s="2745" t="s">
        <v>2577</v>
      </c>
      <c r="C73" s="2746"/>
      <c r="D73" s="968"/>
      <c r="E73" s="969"/>
      <c r="F73" s="970">
        <f>F70-F72</f>
        <v>3</v>
      </c>
      <c r="G73" s="971">
        <f>IF($F73=0,0,IF(G72=0,0,$F73))</f>
        <v>3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IF($F73=0,0,IF(J72=0,0,IF(SUM(F73:$G73)=0,$F73,0)))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IF($F73=0,0,IF(M72=0,0,IF(SUM($G73:I73)=0,$F73,0)))</f>
        <v>0</v>
      </c>
      <c r="N73" s="971">
        <f>IF($F73=0,0,IF(N72=0,0,IF(SUM($G73:M73)=0,$F73,0)))</f>
        <v>0</v>
      </c>
      <c r="O73" s="971">
        <f>IF($F73=0,0,IF(O72=0,0,IF(SUM($G73:N73)=0,$F73,0)))</f>
        <v>0</v>
      </c>
      <c r="P73" s="971">
        <f>IF($F73=0,0,IF(P72=0,0,IF(SUM($G73:O73)=0,$F73,0)))</f>
        <v>0</v>
      </c>
      <c r="Q73" s="971">
        <f>IF($F73=0,0,IF(Q72=0,0,IF(SUM($G73:P73)=0,$F73,0)))</f>
        <v>0</v>
      </c>
    </row>
    <row r="74" spans="1:17" s="2612" customFormat="1" ht="13.5" customHeight="1">
      <c r="A74" s="2613"/>
      <c r="B74" s="2614" t="s">
        <v>2578</v>
      </c>
      <c r="C74" s="2615"/>
      <c r="D74" s="2616"/>
      <c r="E74" s="2617"/>
      <c r="F74" s="2610">
        <f t="shared" ref="F74:F81" si="80">SUM(G74:Q74)</f>
        <v>2381193</v>
      </c>
      <c r="G74" s="2611">
        <f>IF(G67=0,0,G69+G72+G73)</f>
        <v>204012</v>
      </c>
      <c r="H74" s="2611">
        <f t="shared" ref="H74:Q74" si="81">IF(H67=0,0,H69+H72+H73)</f>
        <v>0</v>
      </c>
      <c r="I74" s="2611">
        <f t="shared" si="81"/>
        <v>0</v>
      </c>
      <c r="J74" s="2611">
        <f t="shared" ref="J74:L74" si="82">IF(J67=0,0,J69+J72+J73)</f>
        <v>722148</v>
      </c>
      <c r="K74" s="2611">
        <f t="shared" si="82"/>
        <v>491</v>
      </c>
      <c r="L74" s="2611">
        <f t="shared" si="82"/>
        <v>267288</v>
      </c>
      <c r="M74" s="2611">
        <f t="shared" si="81"/>
        <v>0</v>
      </c>
      <c r="N74" s="2611">
        <f t="shared" si="81"/>
        <v>786068</v>
      </c>
      <c r="O74" s="2611">
        <f t="shared" si="81"/>
        <v>197174</v>
      </c>
      <c r="P74" s="2611">
        <f t="shared" si="81"/>
        <v>204012</v>
      </c>
      <c r="Q74" s="2611">
        <f t="shared" si="81"/>
        <v>0</v>
      </c>
    </row>
    <row r="75" spans="1:17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80"/>
        <v>26440355</v>
      </c>
      <c r="G75" s="1006">
        <f>+G13+G66+G74</f>
        <v>2288026</v>
      </c>
      <c r="H75" s="1006">
        <f t="shared" ref="H75:Q75" si="83">+H13+H66+H74</f>
        <v>0</v>
      </c>
      <c r="I75" s="1006">
        <f t="shared" si="83"/>
        <v>0</v>
      </c>
      <c r="J75" s="1006">
        <f t="shared" ref="J75:L75" si="84">+J13+J66+J74</f>
        <v>8115789</v>
      </c>
      <c r="K75" s="1006">
        <f t="shared" si="84"/>
        <v>88750</v>
      </c>
      <c r="L75" s="1006">
        <f t="shared" si="84"/>
        <v>3025031</v>
      </c>
      <c r="M75" s="1006">
        <f t="shared" si="83"/>
        <v>0</v>
      </c>
      <c r="N75" s="1006">
        <f t="shared" si="83"/>
        <v>9004350</v>
      </c>
      <c r="O75" s="1006">
        <f t="shared" si="83"/>
        <v>1925817</v>
      </c>
      <c r="P75" s="1006">
        <f t="shared" si="83"/>
        <v>1992592</v>
      </c>
      <c r="Q75" s="1006">
        <f t="shared" si="83"/>
        <v>0</v>
      </c>
    </row>
    <row r="76" spans="1:17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80"/>
        <v>26437000</v>
      </c>
      <c r="G76" s="1011">
        <f>IF(G75&lt;0,ROUNDUP(G75,-3),ROUNDDOWN(G75,-3))</f>
        <v>2288000</v>
      </c>
      <c r="H76" s="1011">
        <f t="shared" ref="H76:Q76" si="85">IF(H75&lt;0,ROUNDUP(H75,-3),ROUNDDOWN(H75,-3))</f>
        <v>0</v>
      </c>
      <c r="I76" s="1011">
        <f t="shared" si="85"/>
        <v>0</v>
      </c>
      <c r="J76" s="1011">
        <f t="shared" ref="J76:L76" si="86">IF(J75&lt;0,ROUNDUP(J75,-3),ROUNDDOWN(J75,-3))</f>
        <v>8115000</v>
      </c>
      <c r="K76" s="1011">
        <f t="shared" si="86"/>
        <v>88000</v>
      </c>
      <c r="L76" s="1011">
        <f t="shared" si="86"/>
        <v>3025000</v>
      </c>
      <c r="M76" s="1011">
        <f t="shared" si="85"/>
        <v>0</v>
      </c>
      <c r="N76" s="1011">
        <f t="shared" si="85"/>
        <v>9004000</v>
      </c>
      <c r="O76" s="1011">
        <f t="shared" si="85"/>
        <v>1925000</v>
      </c>
      <c r="P76" s="1011">
        <f t="shared" si="85"/>
        <v>1992000</v>
      </c>
      <c r="Q76" s="1012">
        <f t="shared" si="85"/>
        <v>0</v>
      </c>
    </row>
    <row r="77" spans="1:17" s="839" customFormat="1" ht="13.5" customHeight="1">
      <c r="A77" s="1013"/>
      <c r="B77" s="2760" t="s">
        <v>2581</v>
      </c>
      <c r="C77" s="1014" t="s">
        <v>2582</v>
      </c>
      <c r="D77" s="1014"/>
      <c r="E77" s="1014"/>
      <c r="F77" s="1015">
        <f t="shared" si="80"/>
        <v>21536951</v>
      </c>
      <c r="G77" s="1016">
        <f t="shared" ref="G77:Q77" si="87">+G13</f>
        <v>2033656</v>
      </c>
      <c r="H77" s="1016">
        <f t="shared" si="87"/>
        <v>0</v>
      </c>
      <c r="I77" s="1016">
        <f t="shared" si="87"/>
        <v>0</v>
      </c>
      <c r="J77" s="1016">
        <f t="shared" ref="J77:L77" si="88">+J13</f>
        <v>6775824</v>
      </c>
      <c r="K77" s="1016">
        <f t="shared" si="88"/>
        <v>99998</v>
      </c>
      <c r="L77" s="1016">
        <f t="shared" si="88"/>
        <v>2589614</v>
      </c>
      <c r="M77" s="1016">
        <f t="shared" si="87"/>
        <v>0</v>
      </c>
      <c r="N77" s="1016">
        <f t="shared" si="87"/>
        <v>7560554</v>
      </c>
      <c r="O77" s="1016">
        <f t="shared" si="87"/>
        <v>1217504</v>
      </c>
      <c r="P77" s="1016">
        <f t="shared" si="87"/>
        <v>1259801</v>
      </c>
      <c r="Q77" s="1017">
        <f t="shared" si="87"/>
        <v>0</v>
      </c>
    </row>
    <row r="78" spans="1:17" s="839" customFormat="1" ht="13.5" customHeight="1" thickBot="1">
      <c r="A78" s="1018"/>
      <c r="B78" s="2761"/>
      <c r="C78" s="1019" t="s">
        <v>2583</v>
      </c>
      <c r="D78" s="1019"/>
      <c r="E78" s="1019"/>
      <c r="F78" s="1020">
        <f t="shared" si="80"/>
        <v>4900049</v>
      </c>
      <c r="G78" s="1021">
        <f>+G76-G77</f>
        <v>254344</v>
      </c>
      <c r="H78" s="1021">
        <f t="shared" ref="H78:Q78" si="89">+H76-H77</f>
        <v>0</v>
      </c>
      <c r="I78" s="1021">
        <f t="shared" si="89"/>
        <v>0</v>
      </c>
      <c r="J78" s="1021">
        <f t="shared" ref="J78:L78" si="90">+J76-J77</f>
        <v>1339176</v>
      </c>
      <c r="K78" s="1021">
        <f t="shared" si="90"/>
        <v>-11998</v>
      </c>
      <c r="L78" s="1021">
        <f t="shared" si="90"/>
        <v>435386</v>
      </c>
      <c r="M78" s="1021">
        <f t="shared" si="89"/>
        <v>0</v>
      </c>
      <c r="N78" s="1021">
        <f t="shared" si="89"/>
        <v>1443446</v>
      </c>
      <c r="O78" s="1021">
        <f t="shared" si="89"/>
        <v>707496</v>
      </c>
      <c r="P78" s="1021">
        <f t="shared" si="89"/>
        <v>732199</v>
      </c>
      <c r="Q78" s="1022">
        <f t="shared" si="89"/>
        <v>0</v>
      </c>
    </row>
    <row r="79" spans="1:17" s="2612" customFormat="1" ht="13.5" customHeight="1" thickTop="1">
      <c r="A79" s="2618" t="s">
        <v>2584</v>
      </c>
      <c r="B79" s="2619"/>
      <c r="C79" s="2619"/>
      <c r="D79" s="2619"/>
      <c r="E79" s="2620" t="s">
        <v>2580</v>
      </c>
      <c r="F79" s="2621">
        <f t="shared" si="80"/>
        <v>19660000</v>
      </c>
      <c r="G79" s="2622">
        <f t="shared" ref="G79:Q79" si="91">IF(G75&lt;0,ROUNDUP(G75*$G$2,-3),ROUNDDOWN(G75*$G$2,-3))</f>
        <v>1701000</v>
      </c>
      <c r="H79" s="2622">
        <f t="shared" si="91"/>
        <v>0</v>
      </c>
      <c r="I79" s="2622">
        <f t="shared" si="91"/>
        <v>0</v>
      </c>
      <c r="J79" s="2622">
        <f t="shared" ref="J79:L79" si="92">IF(J75&lt;0,ROUNDUP(J75*$G$2,-3),ROUNDDOWN(J75*$G$2,-3))</f>
        <v>6035000</v>
      </c>
      <c r="K79" s="2622">
        <f t="shared" si="92"/>
        <v>66000</v>
      </c>
      <c r="L79" s="2622">
        <f t="shared" si="92"/>
        <v>2249000</v>
      </c>
      <c r="M79" s="2622">
        <f t="shared" si="91"/>
        <v>0</v>
      </c>
      <c r="N79" s="2622">
        <f t="shared" si="91"/>
        <v>6696000</v>
      </c>
      <c r="O79" s="2622">
        <f t="shared" si="91"/>
        <v>1432000</v>
      </c>
      <c r="P79" s="2622">
        <f t="shared" si="91"/>
        <v>1481000</v>
      </c>
      <c r="Q79" s="2623">
        <f t="shared" si="91"/>
        <v>0</v>
      </c>
    </row>
    <row r="80" spans="1:17" s="839" customFormat="1" ht="13.5" customHeight="1">
      <c r="A80" s="1013"/>
      <c r="B80" s="2760" t="s">
        <v>2581</v>
      </c>
      <c r="C80" s="1014" t="s">
        <v>2582</v>
      </c>
      <c r="D80" s="1014"/>
      <c r="E80" s="1014"/>
      <c r="F80" s="1015">
        <f t="shared" si="80"/>
        <v>16017034</v>
      </c>
      <c r="G80" s="1016">
        <f t="shared" ref="G80:Q80" si="93">IF(G77&lt;0,ROUNDDOWN(G77*$G$2,0),ROUNDUP(G77*$G$2,0))</f>
        <v>1512430</v>
      </c>
      <c r="H80" s="1016">
        <f t="shared" si="93"/>
        <v>0</v>
      </c>
      <c r="I80" s="1016">
        <f t="shared" si="93"/>
        <v>0</v>
      </c>
      <c r="J80" s="1016">
        <f t="shared" ref="J80:L80" si="94">IF(J77&lt;0,ROUNDDOWN(J77*$G$2,0),ROUNDUP(J77*$G$2,0))</f>
        <v>5039181</v>
      </c>
      <c r="K80" s="1016">
        <f t="shared" si="94"/>
        <v>74369</v>
      </c>
      <c r="L80" s="1016">
        <f t="shared" si="94"/>
        <v>1925896</v>
      </c>
      <c r="M80" s="1016">
        <f t="shared" si="93"/>
        <v>0</v>
      </c>
      <c r="N80" s="1016">
        <f t="shared" si="93"/>
        <v>5622785</v>
      </c>
      <c r="O80" s="1016">
        <f t="shared" si="93"/>
        <v>905458</v>
      </c>
      <c r="P80" s="1016">
        <f t="shared" si="93"/>
        <v>936915</v>
      </c>
      <c r="Q80" s="1017">
        <f t="shared" si="93"/>
        <v>0</v>
      </c>
    </row>
    <row r="81" spans="1:17" s="839" customFormat="1" ht="13.5" customHeight="1">
      <c r="A81" s="1018"/>
      <c r="B81" s="2762"/>
      <c r="C81" s="1019" t="s">
        <v>2583</v>
      </c>
      <c r="D81" s="1019"/>
      <c r="E81" s="1019"/>
      <c r="F81" s="1020">
        <f t="shared" si="80"/>
        <v>3642966</v>
      </c>
      <c r="G81" s="1021">
        <f t="shared" ref="G81:Q81" si="95">+G79-G80</f>
        <v>188570</v>
      </c>
      <c r="H81" s="1021">
        <f t="shared" si="95"/>
        <v>0</v>
      </c>
      <c r="I81" s="1021">
        <f t="shared" si="95"/>
        <v>0</v>
      </c>
      <c r="J81" s="1021">
        <f t="shared" ref="J81:L81" si="96">+J79-J80</f>
        <v>995819</v>
      </c>
      <c r="K81" s="1021">
        <f t="shared" si="96"/>
        <v>-8369</v>
      </c>
      <c r="L81" s="1021">
        <f t="shared" si="96"/>
        <v>323104</v>
      </c>
      <c r="M81" s="1021">
        <f t="shared" si="95"/>
        <v>0</v>
      </c>
      <c r="N81" s="1021">
        <f t="shared" si="95"/>
        <v>1073215</v>
      </c>
      <c r="O81" s="1021">
        <f t="shared" si="95"/>
        <v>526542</v>
      </c>
      <c r="P81" s="1021">
        <f t="shared" si="95"/>
        <v>544085</v>
      </c>
      <c r="Q81" s="1022">
        <f t="shared" si="95"/>
        <v>0</v>
      </c>
    </row>
    <row r="82" spans="1:17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東梅田外１駅可動式ホーム柵設置に伴う建築その他工事</v>
      </c>
      <c r="G82" s="1028"/>
      <c r="H82" s="1029"/>
      <c r="I82" s="1030"/>
      <c r="J82" s="837"/>
      <c r="K82" s="837"/>
      <c r="L82" s="837"/>
      <c r="M82" s="837"/>
      <c r="N82" s="837"/>
      <c r="O82" s="837"/>
      <c r="P82" s="837"/>
      <c r="Q82" s="838" t="s">
        <v>2585</v>
      </c>
    </row>
    <row r="83" spans="1:17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7"/>
      <c r="N83" s="1037"/>
      <c r="O83" s="1037"/>
      <c r="P83" s="1034"/>
      <c r="Q83" s="1038"/>
    </row>
    <row r="84" spans="1:17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>
        <v>16.600000000000001</v>
      </c>
      <c r="K84" s="1039">
        <v>16.600000000000001</v>
      </c>
      <c r="L84" s="1039">
        <v>16.600000000000001</v>
      </c>
      <c r="M84" s="1039">
        <v>11</v>
      </c>
      <c r="N84" s="1039">
        <v>16.600000000000001</v>
      </c>
      <c r="O84" s="1039"/>
      <c r="P84" s="1039"/>
      <c r="Q84" s="1040"/>
    </row>
    <row r="85" spans="1:17" s="878" customFormat="1" ht="13.5" customHeight="1">
      <c r="A85" s="879"/>
      <c r="B85" s="880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 t="s">
        <v>2947</v>
      </c>
      <c r="K85" s="1041" t="s">
        <v>2947</v>
      </c>
      <c r="L85" s="1041" t="s">
        <v>2947</v>
      </c>
      <c r="M85" s="1041" t="s">
        <v>2947</v>
      </c>
      <c r="N85" s="1041" t="s">
        <v>2947</v>
      </c>
      <c r="O85" s="1041"/>
      <c r="P85" s="1041"/>
      <c r="Q85" s="1042"/>
    </row>
    <row r="86" spans="1:17" s="889" customFormat="1" ht="13.5" customHeight="1">
      <c r="A86" s="879"/>
      <c r="B86" s="880"/>
      <c r="C86" s="880" t="s">
        <v>2590</v>
      </c>
      <c r="D86" s="880"/>
      <c r="E86" s="1043" t="s">
        <v>2596</v>
      </c>
      <c r="F86" s="1044" t="s">
        <v>2505</v>
      </c>
      <c r="G86" s="1045" t="s">
        <v>2948</v>
      </c>
      <c r="H86" s="1045" t="s">
        <v>2949</v>
      </c>
      <c r="I86" s="1045" t="s">
        <v>2950</v>
      </c>
      <c r="J86" s="1045" t="s">
        <v>2951</v>
      </c>
      <c r="K86" s="1045" t="s">
        <v>2952</v>
      </c>
      <c r="L86" s="1045" t="s">
        <v>2960</v>
      </c>
      <c r="M86" s="1045" t="s">
        <v>2961</v>
      </c>
      <c r="N86" s="1045" t="s">
        <v>2962</v>
      </c>
      <c r="O86" s="1045"/>
      <c r="P86" s="1045"/>
      <c r="Q86" s="1046"/>
    </row>
    <row r="87" spans="1:17" s="889" customFormat="1" ht="13.5" customHeight="1">
      <c r="A87" s="879"/>
      <c r="B87" s="880"/>
      <c r="C87" s="880" t="s">
        <v>2592</v>
      </c>
      <c r="D87" s="880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2955</v>
      </c>
      <c r="J87" s="1048" t="s">
        <v>2956</v>
      </c>
      <c r="K87" s="1048" t="s">
        <v>2957</v>
      </c>
      <c r="L87" s="1048" t="s">
        <v>2953</v>
      </c>
      <c r="M87" s="1048" t="s">
        <v>2954</v>
      </c>
      <c r="N87" s="1048" t="s">
        <v>2956</v>
      </c>
      <c r="O87" s="1048"/>
      <c r="P87" s="1048"/>
      <c r="Q87" s="1049"/>
    </row>
    <row r="88" spans="1:17" s="889" customFormat="1" ht="13.5" customHeight="1">
      <c r="A88" s="2734" t="s">
        <v>2513</v>
      </c>
      <c r="B88" s="2735"/>
      <c r="C88" s="2735"/>
      <c r="D88" s="2735"/>
      <c r="E88" s="2735"/>
      <c r="F88" s="2736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0" t="s">
        <v>2594</v>
      </c>
      <c r="O88" s="1050" t="s">
        <v>2594</v>
      </c>
      <c r="P88" s="1050" t="s">
        <v>2594</v>
      </c>
      <c r="Q88" s="1051" t="s">
        <v>2594</v>
      </c>
    </row>
    <row r="89" spans="1:17" s="889" customFormat="1" ht="30" customHeight="1">
      <c r="A89" s="2747" t="s">
        <v>2514</v>
      </c>
      <c r="B89" s="2748"/>
      <c r="C89" s="2748"/>
      <c r="D89" s="2748"/>
      <c r="E89" s="2748"/>
      <c r="F89" s="2749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0" t="s">
        <v>2595</v>
      </c>
      <c r="O89" s="890" t="s">
        <v>2595</v>
      </c>
      <c r="P89" s="890" t="s">
        <v>2595</v>
      </c>
      <c r="Q89" s="891" t="s">
        <v>2595</v>
      </c>
    </row>
    <row r="90" spans="1:17" s="889" customFormat="1" ht="30" customHeight="1">
      <c r="A90" s="2750" t="s">
        <v>2515</v>
      </c>
      <c r="B90" s="2751"/>
      <c r="C90" s="2751"/>
      <c r="D90" s="2751"/>
      <c r="E90" s="2751"/>
      <c r="F90" s="2752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2" t="s">
        <v>2596</v>
      </c>
      <c r="O90" s="892" t="s">
        <v>2596</v>
      </c>
      <c r="P90" s="892" t="s">
        <v>2596</v>
      </c>
      <c r="Q90" s="893" t="s">
        <v>2596</v>
      </c>
    </row>
    <row r="91" spans="1:17" s="889" customFormat="1" ht="13.5" customHeight="1">
      <c r="A91" s="870"/>
      <c r="B91" s="894" t="s">
        <v>2597</v>
      </c>
      <c r="C91" s="895"/>
      <c r="D91" s="895"/>
      <c r="E91" s="896"/>
      <c r="F91" s="897">
        <f>SUM(G91:Q91)</f>
        <v>388791162</v>
      </c>
      <c r="G91" s="898">
        <f>+G92+G96</f>
        <v>33425885</v>
      </c>
      <c r="H91" s="898">
        <f>+H92+H96</f>
        <v>22318883</v>
      </c>
      <c r="I91" s="898">
        <f t="shared" ref="I91:Q91" si="97">+I92+I96</f>
        <v>2131661</v>
      </c>
      <c r="J91" s="898">
        <f>+J92+J96</f>
        <v>107929486</v>
      </c>
      <c r="K91" s="898">
        <f>+K92+K96</f>
        <v>10208163</v>
      </c>
      <c r="L91" s="898">
        <f t="shared" ref="L91" si="98">+L92+L96</f>
        <v>44795961</v>
      </c>
      <c r="M91" s="898">
        <f>+M92+M96</f>
        <v>28913934</v>
      </c>
      <c r="N91" s="898">
        <f>+N92+N96</f>
        <v>139067189</v>
      </c>
      <c r="O91" s="898">
        <f t="shared" si="97"/>
        <v>0</v>
      </c>
      <c r="P91" s="898">
        <f t="shared" si="97"/>
        <v>0</v>
      </c>
      <c r="Q91" s="899">
        <f t="shared" si="97"/>
        <v>0</v>
      </c>
    </row>
    <row r="92" spans="1:17" s="889" customFormat="1" ht="13.5" customHeight="1">
      <c r="A92" s="879"/>
      <c r="B92" s="880"/>
      <c r="C92" s="691" t="s">
        <v>2517</v>
      </c>
      <c r="D92" s="692"/>
      <c r="E92" s="874"/>
      <c r="F92" s="900">
        <f>SUM(G92:Q92)</f>
        <v>363659083</v>
      </c>
      <c r="G92" s="1052">
        <v>29215287</v>
      </c>
      <c r="H92" s="1052">
        <v>21555646</v>
      </c>
      <c r="I92" s="1052">
        <v>2052481</v>
      </c>
      <c r="J92" s="1052">
        <v>103212496</v>
      </c>
      <c r="K92" s="1052">
        <v>9791560</v>
      </c>
      <c r="L92" s="1052">
        <v>39763280</v>
      </c>
      <c r="M92" s="1052">
        <v>27426558</v>
      </c>
      <c r="N92" s="1052">
        <v>130641775</v>
      </c>
      <c r="O92" s="1052"/>
      <c r="P92" s="1052"/>
      <c r="Q92" s="1053"/>
    </row>
    <row r="93" spans="1:17" s="889" customFormat="1" ht="13.5" customHeight="1">
      <c r="A93" s="879"/>
      <c r="B93" s="880"/>
      <c r="C93" s="1054"/>
      <c r="D93" s="1054"/>
      <c r="E93" s="903"/>
      <c r="F93" s="904" t="s">
        <v>2598</v>
      </c>
      <c r="G93" s="905">
        <f>SUM(G185:G194)</f>
        <v>33425885</v>
      </c>
      <c r="H93" s="905">
        <f t="shared" ref="H93:Q93" si="99">SUM(H185:H194)</f>
        <v>22318883</v>
      </c>
      <c r="I93" s="905">
        <f t="shared" si="99"/>
        <v>2131661</v>
      </c>
      <c r="J93" s="905">
        <f>SUM(J185:J194)</f>
        <v>107929486</v>
      </c>
      <c r="K93" s="905">
        <f>SUM(K185:K194)</f>
        <v>10208163</v>
      </c>
      <c r="L93" s="905">
        <f t="shared" ref="L93" si="100">SUM(L185:L194)</f>
        <v>44795961</v>
      </c>
      <c r="M93" s="905">
        <f>SUM(M185:M194)</f>
        <v>28913934</v>
      </c>
      <c r="N93" s="905">
        <f>SUM(N185:N194)</f>
        <v>139067189</v>
      </c>
      <c r="O93" s="905">
        <f t="shared" si="99"/>
        <v>0</v>
      </c>
      <c r="P93" s="905">
        <f t="shared" si="99"/>
        <v>0</v>
      </c>
      <c r="Q93" s="906">
        <f t="shared" si="99"/>
        <v>0</v>
      </c>
    </row>
    <row r="94" spans="1:17" s="889" customFormat="1" ht="13.5" customHeight="1">
      <c r="A94" s="879"/>
      <c r="B94" s="880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Q94" si="101">SUM(H232:H234)</f>
        <v>0</v>
      </c>
      <c r="I94" s="905">
        <f t="shared" si="101"/>
        <v>0</v>
      </c>
      <c r="J94" s="905">
        <f>SUM(J232:J234)</f>
        <v>0</v>
      </c>
      <c r="K94" s="905">
        <f>SUM(K232:K234)</f>
        <v>0</v>
      </c>
      <c r="L94" s="905">
        <f t="shared" ref="L94" si="102">SUM(L232:L234)</f>
        <v>0</v>
      </c>
      <c r="M94" s="905">
        <f>SUM(M232:M234)</f>
        <v>0</v>
      </c>
      <c r="N94" s="905">
        <f>SUM(N232:N234)</f>
        <v>0</v>
      </c>
      <c r="O94" s="905">
        <f t="shared" si="101"/>
        <v>0</v>
      </c>
      <c r="P94" s="905">
        <f t="shared" si="101"/>
        <v>0</v>
      </c>
      <c r="Q94" s="906">
        <f t="shared" si="101"/>
        <v>0</v>
      </c>
    </row>
    <row r="95" spans="1:17" s="889" customFormat="1" ht="13.5" customHeight="1">
      <c r="A95" s="879"/>
      <c r="B95" s="880"/>
      <c r="C95" s="1054"/>
      <c r="D95" s="1054"/>
      <c r="E95" s="903"/>
      <c r="F95" s="1055" t="s">
        <v>2600</v>
      </c>
      <c r="G95" s="905">
        <f>+G134</f>
        <v>29215287</v>
      </c>
      <c r="H95" s="905">
        <f t="shared" ref="H95:Q95" si="103">+H134</f>
        <v>21555646</v>
      </c>
      <c r="I95" s="905">
        <f t="shared" si="103"/>
        <v>2052481</v>
      </c>
      <c r="J95" s="905">
        <f t="shared" ref="J95" si="104">+J134</f>
        <v>103212496</v>
      </c>
      <c r="K95" s="905">
        <f>+K134</f>
        <v>9791560</v>
      </c>
      <c r="L95" s="905">
        <f t="shared" ref="L95" si="105">+L134</f>
        <v>39763280</v>
      </c>
      <c r="M95" s="905">
        <f t="shared" si="103"/>
        <v>27426558</v>
      </c>
      <c r="N95" s="905">
        <f>+N134</f>
        <v>130641775</v>
      </c>
      <c r="O95" s="905">
        <f t="shared" si="103"/>
        <v>0</v>
      </c>
      <c r="P95" s="905">
        <f t="shared" si="103"/>
        <v>0</v>
      </c>
      <c r="Q95" s="906">
        <f t="shared" si="103"/>
        <v>0</v>
      </c>
    </row>
    <row r="96" spans="1:17" s="889" customFormat="1" ht="13.5" customHeight="1">
      <c r="A96" s="879"/>
      <c r="B96" s="880"/>
      <c r="C96" s="698" t="s">
        <v>2518</v>
      </c>
      <c r="D96" s="698"/>
      <c r="E96" s="903"/>
      <c r="F96" s="904">
        <f t="shared" ref="F96:F113" si="106">SUM(G96:Q96)</f>
        <v>25132079</v>
      </c>
      <c r="G96" s="905">
        <f>G97+G98</f>
        <v>4210598</v>
      </c>
      <c r="H96" s="905">
        <f t="shared" ref="H96:Q96" si="107">H97+H98</f>
        <v>763237</v>
      </c>
      <c r="I96" s="905">
        <f t="shared" si="107"/>
        <v>79180</v>
      </c>
      <c r="J96" s="905">
        <f t="shared" ref="J96" si="108">J97+J98</f>
        <v>4716990</v>
      </c>
      <c r="K96" s="905">
        <f>K97+K98</f>
        <v>416603</v>
      </c>
      <c r="L96" s="905">
        <f t="shared" ref="L96" si="109">L97+L98</f>
        <v>5032681</v>
      </c>
      <c r="M96" s="905">
        <f t="shared" si="107"/>
        <v>1487376</v>
      </c>
      <c r="N96" s="905">
        <f>N97+N98</f>
        <v>8425414</v>
      </c>
      <c r="O96" s="905">
        <f t="shared" si="107"/>
        <v>0</v>
      </c>
      <c r="P96" s="905">
        <f t="shared" si="107"/>
        <v>0</v>
      </c>
      <c r="Q96" s="906">
        <f t="shared" si="107"/>
        <v>0</v>
      </c>
    </row>
    <row r="97" spans="1:17" s="889" customFormat="1" ht="13.5" customHeight="1">
      <c r="A97" s="879"/>
      <c r="B97" s="880"/>
      <c r="C97" s="907" t="s">
        <v>2519</v>
      </c>
      <c r="D97" s="698"/>
      <c r="E97" s="903"/>
      <c r="F97" s="904">
        <f t="shared" si="106"/>
        <v>0</v>
      </c>
      <c r="G97" s="905">
        <f t="shared" ref="G97:Q97" si="110">IF(G88="積上げ",0,G174)</f>
        <v>0</v>
      </c>
      <c r="H97" s="905">
        <f t="shared" si="110"/>
        <v>0</v>
      </c>
      <c r="I97" s="905">
        <f t="shared" si="110"/>
        <v>0</v>
      </c>
      <c r="J97" s="905">
        <f t="shared" ref="J97:L97" si="111">IF(J88="積上げ",0,J174)</f>
        <v>0</v>
      </c>
      <c r="K97" s="905">
        <f t="shared" si="111"/>
        <v>0</v>
      </c>
      <c r="L97" s="905">
        <f t="shared" si="111"/>
        <v>0</v>
      </c>
      <c r="M97" s="905">
        <f t="shared" si="110"/>
        <v>0</v>
      </c>
      <c r="N97" s="905">
        <f t="shared" si="110"/>
        <v>0</v>
      </c>
      <c r="O97" s="905">
        <f t="shared" si="110"/>
        <v>0</v>
      </c>
      <c r="P97" s="905">
        <f t="shared" si="110"/>
        <v>0</v>
      </c>
      <c r="Q97" s="906">
        <f t="shared" si="110"/>
        <v>0</v>
      </c>
    </row>
    <row r="98" spans="1:17" s="889" customFormat="1" ht="13.5" customHeight="1">
      <c r="A98" s="879"/>
      <c r="B98" s="880"/>
      <c r="C98" s="907" t="s">
        <v>2525</v>
      </c>
      <c r="D98" s="698"/>
      <c r="E98" s="903"/>
      <c r="F98" s="904">
        <f t="shared" si="106"/>
        <v>25132079</v>
      </c>
      <c r="G98" s="1056">
        <v>4210598</v>
      </c>
      <c r="H98" s="1056">
        <v>763237</v>
      </c>
      <c r="I98" s="1056">
        <v>79180</v>
      </c>
      <c r="J98" s="1056">
        <v>4716990</v>
      </c>
      <c r="K98" s="1056">
        <v>416603</v>
      </c>
      <c r="L98" s="1056">
        <v>5032681</v>
      </c>
      <c r="M98" s="1056">
        <v>1487376</v>
      </c>
      <c r="N98" s="1056">
        <v>8425414</v>
      </c>
      <c r="O98" s="1056"/>
      <c r="P98" s="1056"/>
      <c r="Q98" s="1057"/>
    </row>
    <row r="99" spans="1:17" s="889" customFormat="1" ht="13.5" customHeight="1">
      <c r="A99" s="879"/>
      <c r="B99" s="880"/>
      <c r="C99" s="915" t="s">
        <v>2526</v>
      </c>
      <c r="D99" s="698"/>
      <c r="E99" s="903"/>
      <c r="F99" s="904">
        <f t="shared" si="106"/>
        <v>0</v>
      </c>
      <c r="G99" s="1056"/>
      <c r="H99" s="1056"/>
      <c r="I99" s="1056"/>
      <c r="J99" s="1056"/>
      <c r="K99" s="1056"/>
      <c r="L99" s="1056"/>
      <c r="M99" s="1056"/>
      <c r="N99" s="1056"/>
      <c r="O99" s="1056"/>
      <c r="P99" s="1056"/>
      <c r="Q99" s="1057"/>
    </row>
    <row r="100" spans="1:17" s="889" customFormat="1" ht="13.5" customHeight="1">
      <c r="A100" s="879"/>
      <c r="B100" s="880"/>
      <c r="C100" s="916" t="s">
        <v>2527</v>
      </c>
      <c r="D100" s="917"/>
      <c r="E100" s="918"/>
      <c r="F100" s="919">
        <f t="shared" si="106"/>
        <v>0</v>
      </c>
      <c r="G100" s="1058"/>
      <c r="H100" s="1058"/>
      <c r="I100" s="1058"/>
      <c r="J100" s="1058"/>
      <c r="K100" s="1058"/>
      <c r="L100" s="1058"/>
      <c r="M100" s="1058"/>
      <c r="N100" s="1058"/>
      <c r="O100" s="1058"/>
      <c r="P100" s="1058"/>
      <c r="Q100" s="1059"/>
    </row>
    <row r="101" spans="1:17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106"/>
        <v>25132079</v>
      </c>
      <c r="G101" s="1064">
        <f>+G135</f>
        <v>4210598</v>
      </c>
      <c r="H101" s="1064">
        <f t="shared" ref="H101:Q101" si="112">+H135</f>
        <v>763237</v>
      </c>
      <c r="I101" s="1064">
        <f t="shared" si="112"/>
        <v>79180</v>
      </c>
      <c r="J101" s="1064">
        <f t="shared" ref="J101" si="113">+J135</f>
        <v>4716990</v>
      </c>
      <c r="K101" s="1064">
        <f>+K135</f>
        <v>416603</v>
      </c>
      <c r="L101" s="1064">
        <f t="shared" ref="L101" si="114">+L135</f>
        <v>5032681</v>
      </c>
      <c r="M101" s="1064">
        <f t="shared" si="112"/>
        <v>1487376</v>
      </c>
      <c r="N101" s="1064">
        <f>+N135</f>
        <v>8425414</v>
      </c>
      <c r="O101" s="1064">
        <f t="shared" si="112"/>
        <v>0</v>
      </c>
      <c r="P101" s="1064">
        <f t="shared" si="112"/>
        <v>0</v>
      </c>
      <c r="Q101" s="1065">
        <f t="shared" si="112"/>
        <v>0</v>
      </c>
    </row>
    <row r="102" spans="1:17" s="889" customFormat="1" ht="13.5" customHeight="1">
      <c r="A102" s="879"/>
      <c r="B102" s="917" t="s">
        <v>2602</v>
      </c>
      <c r="C102" s="917"/>
      <c r="D102" s="917"/>
      <c r="E102" s="918"/>
      <c r="F102" s="919">
        <f t="shared" si="106"/>
        <v>93908838</v>
      </c>
      <c r="G102" s="1066">
        <f>G103+G108</f>
        <v>7996115</v>
      </c>
      <c r="H102" s="1066">
        <f t="shared" ref="H102:Q102" si="115">H103+H108</f>
        <v>5155117</v>
      </c>
      <c r="I102" s="1066">
        <f t="shared" si="115"/>
        <v>496339</v>
      </c>
      <c r="J102" s="1066">
        <f t="shared" ref="J102" si="116">J103+J108</f>
        <v>26905514</v>
      </c>
      <c r="K102" s="1066">
        <f>K103+K108</f>
        <v>2515837</v>
      </c>
      <c r="L102" s="1066">
        <f t="shared" ref="L102" si="117">L103+L108</f>
        <v>10584039</v>
      </c>
      <c r="M102" s="1066">
        <f t="shared" si="115"/>
        <v>6433066</v>
      </c>
      <c r="N102" s="1066">
        <f>N103+N108</f>
        <v>33822811</v>
      </c>
      <c r="O102" s="1066">
        <f t="shared" si="115"/>
        <v>0</v>
      </c>
      <c r="P102" s="1066">
        <f t="shared" si="115"/>
        <v>0</v>
      </c>
      <c r="Q102" s="1067">
        <f t="shared" si="115"/>
        <v>0</v>
      </c>
    </row>
    <row r="103" spans="1:17" s="889" customFormat="1" ht="13.5" customHeight="1">
      <c r="A103" s="879"/>
      <c r="B103" s="880"/>
      <c r="C103" s="691" t="s">
        <v>2603</v>
      </c>
      <c r="D103" s="691"/>
      <c r="E103" s="875"/>
      <c r="F103" s="900">
        <f t="shared" si="106"/>
        <v>43436477</v>
      </c>
      <c r="G103" s="1068">
        <f>G104+G107</f>
        <v>3667017</v>
      </c>
      <c r="H103" s="1068">
        <f t="shared" ref="H103:Q103" si="118">H104+H107</f>
        <v>2282113</v>
      </c>
      <c r="I103" s="1068">
        <f t="shared" si="118"/>
        <v>221648</v>
      </c>
      <c r="J103" s="1068">
        <f t="shared" ref="J103" si="119">J104+J107</f>
        <v>12806355</v>
      </c>
      <c r="K103" s="1068">
        <f>K104+K107</f>
        <v>1185589</v>
      </c>
      <c r="L103" s="1068">
        <f t="shared" ref="L103" si="120">L104+L107</f>
        <v>4792956</v>
      </c>
      <c r="M103" s="1068">
        <f t="shared" si="118"/>
        <v>2736856</v>
      </c>
      <c r="N103" s="1068">
        <f>N104+N107</f>
        <v>15743943</v>
      </c>
      <c r="O103" s="1068">
        <f t="shared" si="118"/>
        <v>0</v>
      </c>
      <c r="P103" s="1068">
        <f t="shared" si="118"/>
        <v>0</v>
      </c>
      <c r="Q103" s="1069">
        <f t="shared" si="118"/>
        <v>0</v>
      </c>
    </row>
    <row r="104" spans="1:17" s="889" customFormat="1" ht="13.5" customHeight="1">
      <c r="A104" s="879"/>
      <c r="B104" s="880"/>
      <c r="C104" s="1070" t="s">
        <v>2604</v>
      </c>
      <c r="D104" s="1070"/>
      <c r="E104" s="884"/>
      <c r="F104" s="904">
        <f t="shared" si="106"/>
        <v>0</v>
      </c>
      <c r="G104" s="1071">
        <f>SUM(G105:G106)-G107</f>
        <v>0</v>
      </c>
      <c r="H104" s="1071">
        <f t="shared" ref="H104:Q104" si="121">SUM(H105:H106)-H107</f>
        <v>0</v>
      </c>
      <c r="I104" s="1071">
        <f t="shared" si="121"/>
        <v>0</v>
      </c>
      <c r="J104" s="1071">
        <f t="shared" ref="J104" si="122">SUM(J105:J106)-J107</f>
        <v>0</v>
      </c>
      <c r="K104" s="1071">
        <f>SUM(K105:K106)-K107</f>
        <v>0</v>
      </c>
      <c r="L104" s="1071">
        <f t="shared" ref="L104" si="123">SUM(L105:L106)-L107</f>
        <v>0</v>
      </c>
      <c r="M104" s="1071">
        <f t="shared" si="121"/>
        <v>0</v>
      </c>
      <c r="N104" s="1071">
        <f>SUM(N105:N106)-N107</f>
        <v>0</v>
      </c>
      <c r="O104" s="1071">
        <f t="shared" si="121"/>
        <v>0</v>
      </c>
      <c r="P104" s="1071">
        <f t="shared" si="121"/>
        <v>0</v>
      </c>
      <c r="Q104" s="1072">
        <f t="shared" si="121"/>
        <v>0</v>
      </c>
    </row>
    <row r="105" spans="1:17" s="889" customFormat="1" ht="13.5" customHeight="1">
      <c r="A105" s="879"/>
      <c r="B105" s="880"/>
      <c r="C105" s="1073" t="s">
        <v>2605</v>
      </c>
      <c r="D105" s="1073"/>
      <c r="E105" s="903"/>
      <c r="F105" s="904">
        <f t="shared" si="106"/>
        <v>0</v>
      </c>
      <c r="G105" s="905">
        <f>SUM(G200:G202)+G198</f>
        <v>0</v>
      </c>
      <c r="H105" s="905">
        <f t="shared" ref="H105:Q105" si="124">SUM(H200:H202)+H198</f>
        <v>0</v>
      </c>
      <c r="I105" s="905">
        <f t="shared" si="124"/>
        <v>0</v>
      </c>
      <c r="J105" s="905">
        <f t="shared" ref="J105" si="125">SUM(J200:J202)+J198</f>
        <v>0</v>
      </c>
      <c r="K105" s="905">
        <f>SUM(K200:K202)+K198</f>
        <v>0</v>
      </c>
      <c r="L105" s="905">
        <f t="shared" ref="L105" si="126">SUM(L200:L202)+L198</f>
        <v>0</v>
      </c>
      <c r="M105" s="905">
        <f t="shared" si="124"/>
        <v>0</v>
      </c>
      <c r="N105" s="905">
        <f>SUM(N200:N202)+N198</f>
        <v>0</v>
      </c>
      <c r="O105" s="905">
        <f t="shared" si="124"/>
        <v>0</v>
      </c>
      <c r="P105" s="905">
        <f t="shared" si="124"/>
        <v>0</v>
      </c>
      <c r="Q105" s="906">
        <f t="shared" si="124"/>
        <v>0</v>
      </c>
    </row>
    <row r="106" spans="1:17" s="889" customFormat="1" ht="13.5" customHeight="1">
      <c r="A106" s="879"/>
      <c r="B106" s="880"/>
      <c r="C106" s="1073" t="s">
        <v>2606</v>
      </c>
      <c r="D106" s="1073"/>
      <c r="E106" s="903"/>
      <c r="F106" s="904">
        <f t="shared" si="106"/>
        <v>43436477</v>
      </c>
      <c r="G106" s="905">
        <f>SUM(G203:G214)</f>
        <v>3667017</v>
      </c>
      <c r="H106" s="905">
        <f t="shared" ref="H106:Q106" si="127">SUM(H203:H214)</f>
        <v>2282113</v>
      </c>
      <c r="I106" s="905">
        <f t="shared" si="127"/>
        <v>221648</v>
      </c>
      <c r="J106" s="905">
        <f>SUM(J203:J214)</f>
        <v>12806355</v>
      </c>
      <c r="K106" s="905">
        <f>SUM(K203:K214)</f>
        <v>1185589</v>
      </c>
      <c r="L106" s="905">
        <f t="shared" ref="L106" si="128">SUM(L203:L214)</f>
        <v>4792956</v>
      </c>
      <c r="M106" s="905">
        <f>SUM(M203:M214)</f>
        <v>2736856</v>
      </c>
      <c r="N106" s="905">
        <f>SUM(N203:N214)</f>
        <v>15743943</v>
      </c>
      <c r="O106" s="905">
        <f t="shared" si="127"/>
        <v>0</v>
      </c>
      <c r="P106" s="905">
        <f t="shared" si="127"/>
        <v>0</v>
      </c>
      <c r="Q106" s="906">
        <f t="shared" si="127"/>
        <v>0</v>
      </c>
    </row>
    <row r="107" spans="1:17" s="889" customFormat="1" ht="13.5" customHeight="1">
      <c r="A107" s="879"/>
      <c r="B107" s="880"/>
      <c r="C107" s="1073" t="s">
        <v>2607</v>
      </c>
      <c r="D107" s="1073"/>
      <c r="E107" s="903"/>
      <c r="F107" s="904">
        <f t="shared" si="106"/>
        <v>43436477</v>
      </c>
      <c r="G107" s="905">
        <f>+G212</f>
        <v>3667017</v>
      </c>
      <c r="H107" s="905">
        <f t="shared" ref="H107:Q107" si="129">+H212</f>
        <v>2282113</v>
      </c>
      <c r="I107" s="905">
        <f t="shared" si="129"/>
        <v>221648</v>
      </c>
      <c r="J107" s="905">
        <f t="shared" ref="J107" si="130">+J212</f>
        <v>12806355</v>
      </c>
      <c r="K107" s="905">
        <f>+K212</f>
        <v>1185589</v>
      </c>
      <c r="L107" s="905">
        <f t="shared" ref="L107" si="131">+L212</f>
        <v>4792956</v>
      </c>
      <c r="M107" s="905">
        <f t="shared" si="129"/>
        <v>2736856</v>
      </c>
      <c r="N107" s="905">
        <f>+N212</f>
        <v>15743943</v>
      </c>
      <c r="O107" s="905">
        <f t="shared" si="129"/>
        <v>0</v>
      </c>
      <c r="P107" s="905">
        <f t="shared" si="129"/>
        <v>0</v>
      </c>
      <c r="Q107" s="906">
        <f t="shared" si="129"/>
        <v>0</v>
      </c>
    </row>
    <row r="108" spans="1:17" s="889" customFormat="1" ht="13.5" customHeight="1">
      <c r="A108" s="879"/>
      <c r="B108" s="880"/>
      <c r="C108" s="698" t="s">
        <v>2608</v>
      </c>
      <c r="D108" s="698"/>
      <c r="E108" s="903"/>
      <c r="F108" s="904">
        <f t="shared" si="106"/>
        <v>50472361</v>
      </c>
      <c r="G108" s="905">
        <f>SUM(G109:G112)</f>
        <v>4329098</v>
      </c>
      <c r="H108" s="905">
        <f t="shared" ref="H108:Q108" si="132">SUM(H109:H112)</f>
        <v>2873004</v>
      </c>
      <c r="I108" s="905">
        <f t="shared" si="132"/>
        <v>274691</v>
      </c>
      <c r="J108" s="905">
        <f t="shared" ref="J108:L108" si="133">SUM(J109:J112)</f>
        <v>14099159</v>
      </c>
      <c r="K108" s="905">
        <f t="shared" si="133"/>
        <v>1330248</v>
      </c>
      <c r="L108" s="905">
        <f t="shared" si="133"/>
        <v>5791083</v>
      </c>
      <c r="M108" s="905">
        <f t="shared" si="132"/>
        <v>3696210</v>
      </c>
      <c r="N108" s="905">
        <f t="shared" si="132"/>
        <v>18078868</v>
      </c>
      <c r="O108" s="905">
        <f t="shared" si="132"/>
        <v>0</v>
      </c>
      <c r="P108" s="905">
        <f t="shared" si="132"/>
        <v>0</v>
      </c>
      <c r="Q108" s="906">
        <f t="shared" si="132"/>
        <v>0</v>
      </c>
    </row>
    <row r="109" spans="1:17" s="889" customFormat="1" ht="13.5" customHeight="1">
      <c r="A109" s="879"/>
      <c r="B109" s="880"/>
      <c r="C109" s="1073" t="s">
        <v>2605</v>
      </c>
      <c r="D109" s="1073"/>
      <c r="E109" s="903"/>
      <c r="F109" s="1074">
        <f t="shared" si="106"/>
        <v>47900607</v>
      </c>
      <c r="G109" s="905">
        <f>IF(G237=0,0,+G237-G254)</f>
        <v>4108394</v>
      </c>
      <c r="H109" s="905">
        <f t="shared" ref="H109:Q109" si="134">IF(H237=0,0,+H237-H254)</f>
        <v>2726628</v>
      </c>
      <c r="I109" s="905">
        <f t="shared" si="134"/>
        <v>260689</v>
      </c>
      <c r="J109" s="905">
        <f t="shared" ref="J109:L109" si="135">IF(J237=0,0,+J237-J254)</f>
        <v>13380781</v>
      </c>
      <c r="K109" s="905">
        <f t="shared" si="135"/>
        <v>1262456</v>
      </c>
      <c r="L109" s="905">
        <f t="shared" si="135"/>
        <v>5496029</v>
      </c>
      <c r="M109" s="905">
        <f t="shared" si="134"/>
        <v>3507888</v>
      </c>
      <c r="N109" s="905">
        <f t="shared" si="134"/>
        <v>17157742</v>
      </c>
      <c r="O109" s="905">
        <f t="shared" si="134"/>
        <v>0</v>
      </c>
      <c r="P109" s="905">
        <f t="shared" si="134"/>
        <v>0</v>
      </c>
      <c r="Q109" s="906">
        <f t="shared" si="134"/>
        <v>0</v>
      </c>
    </row>
    <row r="110" spans="1:17" s="889" customFormat="1" ht="13.5" customHeight="1">
      <c r="A110" s="879"/>
      <c r="B110" s="880"/>
      <c r="C110" s="1073" t="s">
        <v>2609</v>
      </c>
      <c r="D110" s="1073"/>
      <c r="E110" s="903"/>
      <c r="F110" s="904">
        <f t="shared" si="106"/>
        <v>2571754</v>
      </c>
      <c r="G110" s="905">
        <f>+G238+G239</f>
        <v>220704</v>
      </c>
      <c r="H110" s="905">
        <f t="shared" ref="H110:Q110" si="136">+H238+H239</f>
        <v>146376</v>
      </c>
      <c r="I110" s="905">
        <f t="shared" si="136"/>
        <v>14002</v>
      </c>
      <c r="J110" s="905">
        <f>+J238+J239</f>
        <v>718378</v>
      </c>
      <c r="K110" s="905">
        <f>+K238+K239</f>
        <v>67792</v>
      </c>
      <c r="L110" s="905">
        <f t="shared" ref="L110" si="137">+L238+L239</f>
        <v>295054</v>
      </c>
      <c r="M110" s="905">
        <f>+M238+M239</f>
        <v>188322</v>
      </c>
      <c r="N110" s="905">
        <f>+N238+N239</f>
        <v>921126</v>
      </c>
      <c r="O110" s="905">
        <f t="shared" si="136"/>
        <v>0</v>
      </c>
      <c r="P110" s="905">
        <f t="shared" si="136"/>
        <v>0</v>
      </c>
      <c r="Q110" s="906">
        <f t="shared" si="136"/>
        <v>0</v>
      </c>
    </row>
    <row r="111" spans="1:17" s="889" customFormat="1" ht="13.5" customHeight="1">
      <c r="A111" s="879"/>
      <c r="B111" s="880"/>
      <c r="C111" s="1073" t="s">
        <v>2610</v>
      </c>
      <c r="D111" s="1073"/>
      <c r="E111" s="903"/>
      <c r="F111" s="904">
        <f t="shared" si="106"/>
        <v>0</v>
      </c>
      <c r="G111" s="905">
        <f>SUM(G240:G244)</f>
        <v>0</v>
      </c>
      <c r="H111" s="905">
        <f t="shared" ref="H111:Q111" si="138">SUM(H240:H244)</f>
        <v>0</v>
      </c>
      <c r="I111" s="905">
        <f t="shared" si="138"/>
        <v>0</v>
      </c>
      <c r="J111" s="905">
        <f>SUM(J240:J244)</f>
        <v>0</v>
      </c>
      <c r="K111" s="905">
        <f>SUM(K240:K244)</f>
        <v>0</v>
      </c>
      <c r="L111" s="905">
        <f t="shared" ref="L111" si="139">SUM(L240:L244)</f>
        <v>0</v>
      </c>
      <c r="M111" s="905">
        <f>SUM(M240:M244)</f>
        <v>0</v>
      </c>
      <c r="N111" s="905">
        <f>SUM(N240:N244)</f>
        <v>0</v>
      </c>
      <c r="O111" s="905">
        <f t="shared" si="138"/>
        <v>0</v>
      </c>
      <c r="P111" s="905">
        <f t="shared" si="138"/>
        <v>0</v>
      </c>
      <c r="Q111" s="906">
        <f t="shared" si="138"/>
        <v>0</v>
      </c>
    </row>
    <row r="112" spans="1:17" s="889" customFormat="1" ht="13.5" customHeight="1">
      <c r="A112" s="879"/>
      <c r="B112" s="880"/>
      <c r="C112" s="917" t="s">
        <v>2611</v>
      </c>
      <c r="D112" s="880"/>
      <c r="E112" s="918"/>
      <c r="F112" s="919">
        <f t="shared" si="106"/>
        <v>0</v>
      </c>
      <c r="G112" s="1066">
        <f>IF(G245=0,0,+G245-G254)</f>
        <v>0</v>
      </c>
      <c r="H112" s="1066">
        <f t="shared" ref="H112:Q112" si="140">IF(H245=0,0,+H245-H254)</f>
        <v>0</v>
      </c>
      <c r="I112" s="1066">
        <f t="shared" si="140"/>
        <v>0</v>
      </c>
      <c r="J112" s="1066">
        <f t="shared" ref="J112:L112" si="141">IF(J245=0,0,+J245-J254)</f>
        <v>0</v>
      </c>
      <c r="K112" s="1066">
        <f t="shared" si="141"/>
        <v>0</v>
      </c>
      <c r="L112" s="1066">
        <f t="shared" si="141"/>
        <v>0</v>
      </c>
      <c r="M112" s="1066">
        <f t="shared" si="140"/>
        <v>0</v>
      </c>
      <c r="N112" s="1066">
        <f t="shared" si="140"/>
        <v>0</v>
      </c>
      <c r="O112" s="1066">
        <f t="shared" si="140"/>
        <v>0</v>
      </c>
      <c r="P112" s="1066">
        <f t="shared" si="140"/>
        <v>0</v>
      </c>
      <c r="Q112" s="1067">
        <f t="shared" si="140"/>
        <v>0</v>
      </c>
    </row>
    <row r="113" spans="1:17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106"/>
        <v>482700000</v>
      </c>
      <c r="G113" s="898">
        <f>G91+G102</f>
        <v>41422000</v>
      </c>
      <c r="H113" s="898">
        <f t="shared" ref="H113:Q113" si="142">H91+H102</f>
        <v>27474000</v>
      </c>
      <c r="I113" s="898">
        <f t="shared" si="142"/>
        <v>2628000</v>
      </c>
      <c r="J113" s="898">
        <f t="shared" ref="J113" si="143">J91+J102</f>
        <v>134835000</v>
      </c>
      <c r="K113" s="898">
        <f>K91+K102</f>
        <v>12724000</v>
      </c>
      <c r="L113" s="898">
        <f t="shared" ref="L113" si="144">L91+L102</f>
        <v>55380000</v>
      </c>
      <c r="M113" s="898">
        <f t="shared" si="142"/>
        <v>35347000</v>
      </c>
      <c r="N113" s="898">
        <f>N91+N102</f>
        <v>172890000</v>
      </c>
      <c r="O113" s="898">
        <f t="shared" si="142"/>
        <v>0</v>
      </c>
      <c r="P113" s="898">
        <f t="shared" si="142"/>
        <v>0</v>
      </c>
      <c r="Q113" s="899">
        <f t="shared" si="142"/>
        <v>0</v>
      </c>
    </row>
    <row r="114" spans="1:17" s="889" customFormat="1" ht="15" customHeight="1">
      <c r="A114" s="1077"/>
      <c r="B114" s="880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  <c r="O114" s="1037"/>
      <c r="P114" s="1037"/>
      <c r="Q114" s="1037"/>
    </row>
    <row r="115" spans="1:17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Q115" si="145">+G86</f>
        <v>工事1</v>
      </c>
      <c r="H115" s="1084" t="str">
        <f t="shared" si="145"/>
        <v>工事2</v>
      </c>
      <c r="I115" s="1084" t="str">
        <f t="shared" si="145"/>
        <v>工事3</v>
      </c>
      <c r="J115" s="1084" t="str">
        <f t="shared" ref="J115:L115" si="146">+J86</f>
        <v>工事4</v>
      </c>
      <c r="K115" s="1084" t="str">
        <f t="shared" si="146"/>
        <v>工事5</v>
      </c>
      <c r="L115" s="1084" t="str">
        <f t="shared" si="146"/>
        <v>工事6</v>
      </c>
      <c r="M115" s="1084" t="str">
        <f t="shared" si="145"/>
        <v>工事7</v>
      </c>
      <c r="N115" s="1084" t="str">
        <f t="shared" si="145"/>
        <v>工事8</v>
      </c>
      <c r="O115" s="1084">
        <f t="shared" si="145"/>
        <v>0</v>
      </c>
      <c r="P115" s="1084">
        <f t="shared" si="145"/>
        <v>0</v>
      </c>
      <c r="Q115" s="1085">
        <f t="shared" si="145"/>
        <v>0</v>
      </c>
    </row>
    <row r="116" spans="1:17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7"/>
      <c r="O116" s="927"/>
      <c r="P116" s="927"/>
      <c r="Q116" s="928"/>
    </row>
    <row r="117" spans="1:17" s="889" customFormat="1" ht="15" customHeight="1">
      <c r="A117" s="2753"/>
      <c r="B117" s="2755" t="s">
        <v>2529</v>
      </c>
      <c r="C117" s="692" t="s">
        <v>2530</v>
      </c>
      <c r="D117" s="692"/>
      <c r="E117" s="875"/>
      <c r="F117" s="900">
        <f t="shared" ref="F117:F123" si="147">SUM(G117:Q117)</f>
        <v>0</v>
      </c>
      <c r="G117" s="1068">
        <f t="shared" ref="G117:Q117" si="148">IF(G85="新営",G92-SUM(G119:G130)-G134-G133,0)</f>
        <v>0</v>
      </c>
      <c r="H117" s="1068">
        <f t="shared" si="148"/>
        <v>0</v>
      </c>
      <c r="I117" s="1068">
        <f t="shared" si="148"/>
        <v>0</v>
      </c>
      <c r="J117" s="1068">
        <f t="shared" ref="J117:L117" si="149">IF(J85="新営",J92-SUM(J119:J130)-J134-J133,0)</f>
        <v>0</v>
      </c>
      <c r="K117" s="1068">
        <f t="shared" si="149"/>
        <v>0</v>
      </c>
      <c r="L117" s="1068">
        <f t="shared" si="149"/>
        <v>0</v>
      </c>
      <c r="M117" s="1068">
        <f t="shared" si="148"/>
        <v>0</v>
      </c>
      <c r="N117" s="1068">
        <f t="shared" si="148"/>
        <v>0</v>
      </c>
      <c r="O117" s="1068">
        <f t="shared" si="148"/>
        <v>0</v>
      </c>
      <c r="P117" s="1068">
        <f t="shared" si="148"/>
        <v>0</v>
      </c>
      <c r="Q117" s="1068">
        <f t="shared" si="148"/>
        <v>0</v>
      </c>
    </row>
    <row r="118" spans="1:17" s="889" customFormat="1" ht="14.25" customHeight="1">
      <c r="A118" s="2753"/>
      <c r="B118" s="2756"/>
      <c r="C118" s="699" t="s">
        <v>2531</v>
      </c>
      <c r="D118" s="699"/>
      <c r="E118" s="903"/>
      <c r="F118" s="904">
        <f t="shared" si="147"/>
        <v>0</v>
      </c>
      <c r="G118" s="905">
        <f t="shared" ref="G118:Q118" si="150">IF(G85="改修",G92-SUM(G119:G130)-G134-G133,0)</f>
        <v>0</v>
      </c>
      <c r="H118" s="905">
        <f t="shared" si="150"/>
        <v>0</v>
      </c>
      <c r="I118" s="905">
        <f t="shared" si="150"/>
        <v>0</v>
      </c>
      <c r="J118" s="905">
        <f t="shared" ref="J118:L118" si="151">IF(J85="改修",J92-SUM(J119:J130)-J134-J133,0)</f>
        <v>0</v>
      </c>
      <c r="K118" s="905">
        <f t="shared" si="151"/>
        <v>0</v>
      </c>
      <c r="L118" s="905">
        <f t="shared" si="151"/>
        <v>0</v>
      </c>
      <c r="M118" s="905">
        <f t="shared" si="150"/>
        <v>0</v>
      </c>
      <c r="N118" s="905">
        <f t="shared" si="150"/>
        <v>0</v>
      </c>
      <c r="O118" s="905">
        <f t="shared" si="150"/>
        <v>0</v>
      </c>
      <c r="P118" s="905">
        <f t="shared" si="150"/>
        <v>0</v>
      </c>
      <c r="Q118" s="905">
        <f t="shared" si="150"/>
        <v>0</v>
      </c>
    </row>
    <row r="119" spans="1:17" s="889" customFormat="1" ht="15" customHeight="1">
      <c r="A119" s="2753"/>
      <c r="B119" s="2756"/>
      <c r="C119" s="929" t="s">
        <v>2615</v>
      </c>
      <c r="D119" s="699"/>
      <c r="E119" s="903"/>
      <c r="F119" s="904">
        <f t="shared" si="147"/>
        <v>0</v>
      </c>
      <c r="G119" s="1056"/>
      <c r="H119" s="1056"/>
      <c r="I119" s="1056"/>
      <c r="J119" s="1056"/>
      <c r="K119" s="1056"/>
      <c r="L119" s="1056"/>
      <c r="M119" s="1056"/>
      <c r="N119" s="1056"/>
      <c r="O119" s="1056"/>
      <c r="P119" s="1056"/>
      <c r="Q119" s="1057"/>
    </row>
    <row r="120" spans="1:17" s="889" customFormat="1" ht="15" customHeight="1">
      <c r="A120" s="2753"/>
      <c r="B120" s="2757"/>
      <c r="C120" s="929" t="s">
        <v>2533</v>
      </c>
      <c r="D120" s="699"/>
      <c r="E120" s="903"/>
      <c r="F120" s="904">
        <f t="shared" si="147"/>
        <v>0</v>
      </c>
      <c r="G120" s="1056"/>
      <c r="H120" s="1056"/>
      <c r="I120" s="1056"/>
      <c r="J120" s="1056"/>
      <c r="K120" s="1056"/>
      <c r="L120" s="1056"/>
      <c r="M120" s="1056"/>
      <c r="N120" s="1056"/>
      <c r="O120" s="1056"/>
      <c r="P120" s="1056"/>
      <c r="Q120" s="1057"/>
    </row>
    <row r="121" spans="1:17" s="889" customFormat="1" ht="15" customHeight="1">
      <c r="A121" s="2753"/>
      <c r="B121" s="2758" t="s">
        <v>2534</v>
      </c>
      <c r="C121" s="698" t="s">
        <v>2616</v>
      </c>
      <c r="D121" s="699"/>
      <c r="E121" s="903"/>
      <c r="F121" s="904">
        <f t="shared" si="147"/>
        <v>0</v>
      </c>
      <c r="G121" s="1056"/>
      <c r="H121" s="1056"/>
      <c r="I121" s="1056"/>
      <c r="J121" s="1056"/>
      <c r="K121" s="1056"/>
      <c r="L121" s="1056"/>
      <c r="M121" s="1056"/>
      <c r="N121" s="1056"/>
      <c r="O121" s="1056"/>
      <c r="P121" s="1056"/>
      <c r="Q121" s="1057"/>
    </row>
    <row r="122" spans="1:17" s="889" customFormat="1" ht="15" customHeight="1">
      <c r="A122" s="2753"/>
      <c r="B122" s="2756"/>
      <c r="C122" s="698" t="s">
        <v>2536</v>
      </c>
      <c r="D122" s="699"/>
      <c r="E122" s="903"/>
      <c r="F122" s="904">
        <f t="shared" si="147"/>
        <v>0</v>
      </c>
      <c r="G122" s="1056"/>
      <c r="H122" s="1056"/>
      <c r="I122" s="1056"/>
      <c r="J122" s="1056"/>
      <c r="K122" s="1056"/>
      <c r="L122" s="1056"/>
      <c r="M122" s="1056"/>
      <c r="N122" s="1056"/>
      <c r="O122" s="1056"/>
      <c r="P122" s="1056"/>
      <c r="Q122" s="1057"/>
    </row>
    <row r="123" spans="1:17" s="889" customFormat="1" ht="15" customHeight="1">
      <c r="A123" s="2753"/>
      <c r="B123" s="2756"/>
      <c r="C123" s="699" t="s">
        <v>2537</v>
      </c>
      <c r="D123" s="699"/>
      <c r="E123" s="903"/>
      <c r="F123" s="904">
        <f t="shared" si="147"/>
        <v>0</v>
      </c>
      <c r="G123" s="1056"/>
      <c r="H123" s="1056"/>
      <c r="I123" s="1056"/>
      <c r="J123" s="1056"/>
      <c r="K123" s="1056"/>
      <c r="L123" s="1056"/>
      <c r="M123" s="1056"/>
      <c r="N123" s="1056"/>
      <c r="O123" s="1056"/>
      <c r="P123" s="1056"/>
      <c r="Q123" s="1057"/>
    </row>
    <row r="124" spans="1:17" s="889" customFormat="1" ht="15" customHeight="1">
      <c r="A124" s="2753"/>
      <c r="B124" s="2756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5"/>
      <c r="O124" s="905"/>
      <c r="P124" s="905"/>
      <c r="Q124" s="906"/>
    </row>
    <row r="125" spans="1:17" s="889" customFormat="1" ht="15" customHeight="1">
      <c r="A125" s="2753"/>
      <c r="B125" s="2756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5"/>
      <c r="O125" s="905"/>
      <c r="P125" s="905"/>
      <c r="Q125" s="906"/>
    </row>
    <row r="126" spans="1:17" s="889" customFormat="1" ht="15" customHeight="1">
      <c r="A126" s="2753"/>
      <c r="B126" s="2756"/>
      <c r="C126" s="699" t="s">
        <v>2540</v>
      </c>
      <c r="D126" s="699"/>
      <c r="E126" s="903"/>
      <c r="F126" s="904">
        <f t="shared" ref="F126:F136" si="152">SUM(G126:Q126)</f>
        <v>0</v>
      </c>
      <c r="G126" s="1056"/>
      <c r="H126" s="1056"/>
      <c r="I126" s="1056"/>
      <c r="J126" s="1056"/>
      <c r="K126" s="1056"/>
      <c r="L126" s="1056"/>
      <c r="M126" s="1056"/>
      <c r="N126" s="1056"/>
      <c r="O126" s="1056"/>
      <c r="P126" s="1056"/>
      <c r="Q126" s="1057"/>
    </row>
    <row r="127" spans="1:17" s="889" customFormat="1" ht="15" customHeight="1">
      <c r="A127" s="2753"/>
      <c r="B127" s="2756"/>
      <c r="C127" s="930" t="s">
        <v>2618</v>
      </c>
      <c r="D127" s="699"/>
      <c r="E127" s="903"/>
      <c r="F127" s="904">
        <f t="shared" si="152"/>
        <v>0</v>
      </c>
      <c r="G127" s="1056"/>
      <c r="H127" s="1056"/>
      <c r="I127" s="1056"/>
      <c r="J127" s="1056"/>
      <c r="K127" s="1056"/>
      <c r="L127" s="1056"/>
      <c r="M127" s="1056"/>
      <c r="N127" s="1056"/>
      <c r="O127" s="1056"/>
      <c r="P127" s="1056"/>
      <c r="Q127" s="1057"/>
    </row>
    <row r="128" spans="1:17" s="889" customFormat="1" ht="15" customHeight="1">
      <c r="A128" s="2753"/>
      <c r="B128" s="2756"/>
      <c r="C128" s="931" t="s">
        <v>2619</v>
      </c>
      <c r="D128" s="699"/>
      <c r="E128" s="903"/>
      <c r="F128" s="904">
        <f t="shared" si="152"/>
        <v>0</v>
      </c>
      <c r="G128" s="1056"/>
      <c r="H128" s="1056"/>
      <c r="I128" s="1056"/>
      <c r="J128" s="1056"/>
      <c r="K128" s="1056"/>
      <c r="L128" s="1056"/>
      <c r="M128" s="1056"/>
      <c r="N128" s="1056"/>
      <c r="O128" s="1056"/>
      <c r="P128" s="1056"/>
      <c r="Q128" s="1057"/>
    </row>
    <row r="129" spans="1:17" s="889" customFormat="1" ht="15" customHeight="1">
      <c r="A129" s="2753"/>
      <c r="B129" s="2757"/>
      <c r="C129" s="699" t="s">
        <v>2543</v>
      </c>
      <c r="D129" s="699"/>
      <c r="E129" s="903"/>
      <c r="F129" s="904">
        <f t="shared" si="152"/>
        <v>0</v>
      </c>
      <c r="G129" s="1056"/>
      <c r="H129" s="1056"/>
      <c r="I129" s="1056"/>
      <c r="J129" s="1056"/>
      <c r="K129" s="1056"/>
      <c r="L129" s="1056"/>
      <c r="M129" s="1056"/>
      <c r="N129" s="1056"/>
      <c r="O129" s="1056"/>
      <c r="P129" s="1056"/>
      <c r="Q129" s="1057"/>
    </row>
    <row r="130" spans="1:17" s="889" customFormat="1" ht="15" customHeight="1">
      <c r="A130" s="2753"/>
      <c r="B130" s="2758" t="s">
        <v>2544</v>
      </c>
      <c r="C130" s="929" t="s">
        <v>2545</v>
      </c>
      <c r="D130" s="699"/>
      <c r="E130" s="903"/>
      <c r="F130" s="904">
        <f t="shared" si="152"/>
        <v>0</v>
      </c>
      <c r="G130" s="1056"/>
      <c r="H130" s="1056"/>
      <c r="I130" s="1056"/>
      <c r="J130" s="1056"/>
      <c r="K130" s="1056"/>
      <c r="L130" s="1056"/>
      <c r="M130" s="1056"/>
      <c r="N130" s="1056"/>
      <c r="O130" s="1056"/>
      <c r="P130" s="1056"/>
      <c r="Q130" s="1057"/>
    </row>
    <row r="131" spans="1:17" s="889" customFormat="1" ht="15" customHeight="1">
      <c r="A131" s="2753"/>
      <c r="B131" s="2756"/>
      <c r="C131" s="929" t="s">
        <v>2546</v>
      </c>
      <c r="D131" s="699"/>
      <c r="E131" s="903"/>
      <c r="F131" s="904">
        <f t="shared" si="152"/>
        <v>0</v>
      </c>
      <c r="G131" s="905">
        <f t="shared" ref="G131:Q131" si="153">+G100</f>
        <v>0</v>
      </c>
      <c r="H131" s="905">
        <f t="shared" si="153"/>
        <v>0</v>
      </c>
      <c r="I131" s="905">
        <f t="shared" si="153"/>
        <v>0</v>
      </c>
      <c r="J131" s="905">
        <f>+J100</f>
        <v>0</v>
      </c>
      <c r="K131" s="905">
        <f>+K100</f>
        <v>0</v>
      </c>
      <c r="L131" s="905">
        <f t="shared" ref="L131" si="154">+L100</f>
        <v>0</v>
      </c>
      <c r="M131" s="905">
        <f>+M100</f>
        <v>0</v>
      </c>
      <c r="N131" s="905">
        <f>+N100</f>
        <v>0</v>
      </c>
      <c r="O131" s="905">
        <f t="shared" si="153"/>
        <v>0</v>
      </c>
      <c r="P131" s="905">
        <f t="shared" si="153"/>
        <v>0</v>
      </c>
      <c r="Q131" s="906">
        <f t="shared" si="153"/>
        <v>0</v>
      </c>
    </row>
    <row r="132" spans="1:17" s="889" customFormat="1" ht="15" customHeight="1">
      <c r="A132" s="2753"/>
      <c r="B132" s="2756"/>
      <c r="C132" s="699" t="s">
        <v>2547</v>
      </c>
      <c r="D132" s="699"/>
      <c r="E132" s="903"/>
      <c r="F132" s="904">
        <f t="shared" si="152"/>
        <v>0</v>
      </c>
      <c r="G132" s="905">
        <f>+G99</f>
        <v>0</v>
      </c>
      <c r="H132" s="905">
        <f t="shared" ref="H132:Q132" si="155">+H99</f>
        <v>0</v>
      </c>
      <c r="I132" s="905">
        <f t="shared" si="155"/>
        <v>0</v>
      </c>
      <c r="J132" s="905">
        <f>+J99</f>
        <v>0</v>
      </c>
      <c r="K132" s="905">
        <f>+K99</f>
        <v>0</v>
      </c>
      <c r="L132" s="905">
        <f t="shared" ref="L132" si="156">+L99</f>
        <v>0</v>
      </c>
      <c r="M132" s="905">
        <f>+M99</f>
        <v>0</v>
      </c>
      <c r="N132" s="905">
        <f>+N99</f>
        <v>0</v>
      </c>
      <c r="O132" s="905">
        <f t="shared" si="155"/>
        <v>0</v>
      </c>
      <c r="P132" s="905">
        <f t="shared" si="155"/>
        <v>0</v>
      </c>
      <c r="Q132" s="906">
        <f t="shared" si="155"/>
        <v>0</v>
      </c>
    </row>
    <row r="133" spans="1:17" s="889" customFormat="1" ht="15" customHeight="1">
      <c r="A133" s="2753"/>
      <c r="B133" s="2756"/>
      <c r="C133" s="699" t="s">
        <v>2548</v>
      </c>
      <c r="D133" s="699"/>
      <c r="E133" s="903"/>
      <c r="F133" s="904">
        <f t="shared" si="152"/>
        <v>0</v>
      </c>
      <c r="G133" s="1056"/>
      <c r="H133" s="1056"/>
      <c r="I133" s="1056"/>
      <c r="J133" s="1056"/>
      <c r="K133" s="1056"/>
      <c r="L133" s="1056"/>
      <c r="M133" s="1056"/>
      <c r="N133" s="1056"/>
      <c r="O133" s="1056"/>
      <c r="P133" s="1056"/>
      <c r="Q133" s="1057"/>
    </row>
    <row r="134" spans="1:17" s="889" customFormat="1" ht="15" customHeight="1">
      <c r="A134" s="2753"/>
      <c r="B134" s="2756"/>
      <c r="C134" s="933" t="s">
        <v>2549</v>
      </c>
      <c r="D134" s="933"/>
      <c r="E134" s="934"/>
      <c r="F134" s="904">
        <f t="shared" si="152"/>
        <v>363659083</v>
      </c>
      <c r="G134" s="1086">
        <v>29215287</v>
      </c>
      <c r="H134" s="1086">
        <v>21555646</v>
      </c>
      <c r="I134" s="1086">
        <v>2052481</v>
      </c>
      <c r="J134" s="1086">
        <v>103212496</v>
      </c>
      <c r="K134" s="1086">
        <v>9791560</v>
      </c>
      <c r="L134" s="1086">
        <v>39763280</v>
      </c>
      <c r="M134" s="1086">
        <v>27426558</v>
      </c>
      <c r="N134" s="1086">
        <v>130641775</v>
      </c>
      <c r="O134" s="1086"/>
      <c r="P134" s="1086"/>
      <c r="Q134" s="1087"/>
    </row>
    <row r="135" spans="1:17" s="889" customFormat="1" ht="15" customHeight="1">
      <c r="A135" s="2753"/>
      <c r="B135" s="2756"/>
      <c r="C135" s="933" t="s">
        <v>2550</v>
      </c>
      <c r="D135" s="933"/>
      <c r="E135" s="934"/>
      <c r="F135" s="904">
        <f t="shared" si="152"/>
        <v>25132079</v>
      </c>
      <c r="G135" s="1086">
        <v>4210598</v>
      </c>
      <c r="H135" s="1086">
        <v>763237</v>
      </c>
      <c r="I135" s="1086">
        <v>79180</v>
      </c>
      <c r="J135" s="1086">
        <v>4716990</v>
      </c>
      <c r="K135" s="1086">
        <v>416603</v>
      </c>
      <c r="L135" s="1086">
        <v>5032681</v>
      </c>
      <c r="M135" s="1086">
        <v>1487376</v>
      </c>
      <c r="N135" s="1086">
        <v>8425414</v>
      </c>
      <c r="O135" s="1086"/>
      <c r="P135" s="1086"/>
      <c r="Q135" s="1087"/>
    </row>
    <row r="136" spans="1:17" s="889" customFormat="1" ht="15" customHeight="1">
      <c r="A136" s="2754"/>
      <c r="B136" s="2759"/>
      <c r="C136" s="937" t="s">
        <v>2551</v>
      </c>
      <c r="D136" s="937"/>
      <c r="E136" s="938"/>
      <c r="F136" s="939">
        <f t="shared" si="152"/>
        <v>0</v>
      </c>
      <c r="G136" s="1088"/>
      <c r="H136" s="1088"/>
      <c r="I136" s="1088"/>
      <c r="J136" s="1088"/>
      <c r="K136" s="1088"/>
      <c r="L136" s="1088"/>
      <c r="M136" s="1088"/>
      <c r="N136" s="1088"/>
      <c r="O136" s="1088"/>
      <c r="P136" s="1088"/>
      <c r="Q136" s="1089"/>
    </row>
    <row r="137" spans="1:17" s="889" customFormat="1" ht="15" hidden="1" customHeight="1">
      <c r="A137" s="880"/>
      <c r="B137" s="880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37"/>
      <c r="O137" s="1037"/>
      <c r="P137" s="1037"/>
      <c r="Q137" s="1091" t="s">
        <v>2621</v>
      </c>
    </row>
    <row r="138" spans="1:17" s="889" customFormat="1" ht="15" hidden="1" customHeight="1">
      <c r="A138" s="880"/>
      <c r="B138" s="880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37"/>
      <c r="O138" s="1037"/>
      <c r="P138" s="1037"/>
      <c r="Q138" s="1091"/>
    </row>
    <row r="139" spans="1:17" s="889" customFormat="1" ht="15" hidden="1" customHeight="1">
      <c r="A139" s="870"/>
      <c r="B139" s="871"/>
      <c r="C139" s="871"/>
      <c r="D139" s="2767" t="s">
        <v>2623</v>
      </c>
      <c r="E139" s="2767" t="s">
        <v>2624</v>
      </c>
      <c r="F139" s="1083" t="s">
        <v>2505</v>
      </c>
      <c r="G139" s="1084" t="str">
        <f t="shared" ref="G139:Q139" si="157">+G86</f>
        <v>工事1</v>
      </c>
      <c r="H139" s="1084" t="str">
        <f t="shared" si="157"/>
        <v>工事2</v>
      </c>
      <c r="I139" s="1084" t="str">
        <f t="shared" si="157"/>
        <v>工事3</v>
      </c>
      <c r="J139" s="1084" t="str">
        <f t="shared" ref="J139:L139" si="158">+J86</f>
        <v>工事4</v>
      </c>
      <c r="K139" s="1084" t="str">
        <f t="shared" si="158"/>
        <v>工事5</v>
      </c>
      <c r="L139" s="1084" t="str">
        <f t="shared" si="158"/>
        <v>工事6</v>
      </c>
      <c r="M139" s="1084" t="str">
        <f t="shared" si="157"/>
        <v>工事7</v>
      </c>
      <c r="N139" s="1084" t="str">
        <f t="shared" si="157"/>
        <v>工事8</v>
      </c>
      <c r="O139" s="1084">
        <f t="shared" si="157"/>
        <v>0</v>
      </c>
      <c r="P139" s="1084">
        <f t="shared" si="157"/>
        <v>0</v>
      </c>
      <c r="Q139" s="1085">
        <f t="shared" si="157"/>
        <v>0</v>
      </c>
    </row>
    <row r="140" spans="1:17" s="889" customFormat="1" ht="15" hidden="1" customHeight="1">
      <c r="A140" s="2769" t="s">
        <v>2625</v>
      </c>
      <c r="B140" s="2770"/>
      <c r="C140" s="2771"/>
      <c r="D140" s="2768"/>
      <c r="E140" s="2768"/>
      <c r="F140" s="1092"/>
      <c r="G140" s="1093"/>
      <c r="H140" s="1093"/>
      <c r="I140" s="1093"/>
      <c r="J140" s="1093"/>
      <c r="K140" s="1093"/>
      <c r="L140" s="1093"/>
      <c r="M140" s="1093"/>
      <c r="N140" s="1093"/>
      <c r="O140" s="1093"/>
      <c r="P140" s="1093"/>
      <c r="Q140" s="1094"/>
    </row>
    <row r="141" spans="1:17" s="889" customFormat="1" ht="15" hidden="1" customHeight="1">
      <c r="A141" s="2772"/>
      <c r="B141" s="1095" t="s">
        <v>2626</v>
      </c>
      <c r="C141" s="1096"/>
      <c r="D141" s="1097"/>
      <c r="E141" s="1098"/>
      <c r="F141" s="1099">
        <f t="shared" ref="F141:F148" si="159">SUM(G141:Q141)</f>
        <v>0</v>
      </c>
      <c r="G141" s="1100">
        <f>SUM(G117:G129)+G133</f>
        <v>0</v>
      </c>
      <c r="H141" s="1100">
        <f t="shared" ref="H141:Q141" si="160">SUM(H117:H129)+H133</f>
        <v>0</v>
      </c>
      <c r="I141" s="1100">
        <f t="shared" si="160"/>
        <v>0</v>
      </c>
      <c r="J141" s="1100">
        <f t="shared" ref="J141:L141" si="161">SUM(J117:J129)+J133</f>
        <v>0</v>
      </c>
      <c r="K141" s="1100">
        <f t="shared" si="161"/>
        <v>0</v>
      </c>
      <c r="L141" s="1100">
        <f t="shared" si="161"/>
        <v>0</v>
      </c>
      <c r="M141" s="1100">
        <f t="shared" si="160"/>
        <v>0</v>
      </c>
      <c r="N141" s="1100">
        <f t="shared" si="160"/>
        <v>0</v>
      </c>
      <c r="O141" s="1100">
        <f t="shared" si="160"/>
        <v>0</v>
      </c>
      <c r="P141" s="1100">
        <f t="shared" si="160"/>
        <v>0</v>
      </c>
      <c r="Q141" s="1100">
        <f t="shared" si="160"/>
        <v>0</v>
      </c>
    </row>
    <row r="142" spans="1:17" s="889" customFormat="1" ht="15" hidden="1" customHeight="1">
      <c r="A142" s="2773"/>
      <c r="B142" s="2758" t="s">
        <v>2529</v>
      </c>
      <c r="C142" s="1101" t="s">
        <v>2530</v>
      </c>
      <c r="D142" s="1102">
        <v>1</v>
      </c>
      <c r="E142" s="1103" t="s">
        <v>2627</v>
      </c>
      <c r="F142" s="904">
        <f t="shared" si="159"/>
        <v>0</v>
      </c>
      <c r="G142" s="905">
        <f t="shared" ref="G142:Q142" si="162">IF(G88="積上げ",0,+G117)</f>
        <v>0</v>
      </c>
      <c r="H142" s="905">
        <f t="shared" si="162"/>
        <v>0</v>
      </c>
      <c r="I142" s="905">
        <f t="shared" si="162"/>
        <v>0</v>
      </c>
      <c r="J142" s="905">
        <f t="shared" ref="J142:L142" si="163">IF(J88="積上げ",0,+J117)</f>
        <v>0</v>
      </c>
      <c r="K142" s="905">
        <f t="shared" si="163"/>
        <v>0</v>
      </c>
      <c r="L142" s="905">
        <f t="shared" si="163"/>
        <v>0</v>
      </c>
      <c r="M142" s="905">
        <f t="shared" si="162"/>
        <v>0</v>
      </c>
      <c r="N142" s="905">
        <f t="shared" si="162"/>
        <v>0</v>
      </c>
      <c r="O142" s="905">
        <f t="shared" si="162"/>
        <v>0</v>
      </c>
      <c r="P142" s="905">
        <f t="shared" si="162"/>
        <v>0</v>
      </c>
      <c r="Q142" s="905">
        <f t="shared" si="162"/>
        <v>0</v>
      </c>
    </row>
    <row r="143" spans="1:17" s="889" customFormat="1" ht="15" hidden="1" customHeight="1">
      <c r="A143" s="2773"/>
      <c r="B143" s="2756"/>
      <c r="C143" s="1101" t="s">
        <v>2531</v>
      </c>
      <c r="D143" s="1102">
        <v>1</v>
      </c>
      <c r="E143" s="1103" t="s">
        <v>2627</v>
      </c>
      <c r="F143" s="904">
        <f t="shared" si="159"/>
        <v>0</v>
      </c>
      <c r="G143" s="905">
        <f t="shared" ref="G143:Q143" si="164">IF(G88="積上げ",0,+G118)</f>
        <v>0</v>
      </c>
      <c r="H143" s="905">
        <f t="shared" si="164"/>
        <v>0</v>
      </c>
      <c r="I143" s="905">
        <f t="shared" si="164"/>
        <v>0</v>
      </c>
      <c r="J143" s="905">
        <f t="shared" ref="J143:L143" si="165">IF(J88="積上げ",0,+J118)</f>
        <v>0</v>
      </c>
      <c r="K143" s="905">
        <f t="shared" si="165"/>
        <v>0</v>
      </c>
      <c r="L143" s="905">
        <f t="shared" si="165"/>
        <v>0</v>
      </c>
      <c r="M143" s="905">
        <f t="shared" si="164"/>
        <v>0</v>
      </c>
      <c r="N143" s="905">
        <f t="shared" si="164"/>
        <v>0</v>
      </c>
      <c r="O143" s="905">
        <f t="shared" si="164"/>
        <v>0</v>
      </c>
      <c r="P143" s="905">
        <f t="shared" si="164"/>
        <v>0</v>
      </c>
      <c r="Q143" s="905">
        <f t="shared" si="164"/>
        <v>0</v>
      </c>
    </row>
    <row r="144" spans="1:17" s="889" customFormat="1" ht="15" hidden="1" customHeight="1">
      <c r="A144" s="2773"/>
      <c r="B144" s="2756"/>
      <c r="C144" s="1101" t="s">
        <v>2628</v>
      </c>
      <c r="D144" s="1102">
        <v>0.9</v>
      </c>
      <c r="E144" s="1103" t="s">
        <v>2627</v>
      </c>
      <c r="F144" s="904">
        <f t="shared" si="159"/>
        <v>0</v>
      </c>
      <c r="G144" s="905">
        <f t="shared" ref="G144:Q144" si="166">IF(G88="積上げ",0,+G119)</f>
        <v>0</v>
      </c>
      <c r="H144" s="905">
        <f t="shared" si="166"/>
        <v>0</v>
      </c>
      <c r="I144" s="905">
        <f t="shared" si="166"/>
        <v>0</v>
      </c>
      <c r="J144" s="905">
        <f t="shared" ref="J144:L144" si="167">IF(J88="積上げ",0,+J119)</f>
        <v>0</v>
      </c>
      <c r="K144" s="905">
        <f t="shared" si="167"/>
        <v>0</v>
      </c>
      <c r="L144" s="905">
        <f t="shared" si="167"/>
        <v>0</v>
      </c>
      <c r="M144" s="905">
        <f t="shared" si="166"/>
        <v>0</v>
      </c>
      <c r="N144" s="905">
        <f t="shared" si="166"/>
        <v>0</v>
      </c>
      <c r="O144" s="905">
        <f t="shared" si="166"/>
        <v>0</v>
      </c>
      <c r="P144" s="905">
        <f t="shared" si="166"/>
        <v>0</v>
      </c>
      <c r="Q144" s="905">
        <f t="shared" si="166"/>
        <v>0</v>
      </c>
    </row>
    <row r="145" spans="1:17" s="889" customFormat="1" ht="15" hidden="1" customHeight="1">
      <c r="A145" s="2773"/>
      <c r="B145" s="2757"/>
      <c r="C145" s="1101" t="s">
        <v>2629</v>
      </c>
      <c r="D145" s="1102">
        <v>0.9</v>
      </c>
      <c r="E145" s="1103" t="s">
        <v>2627</v>
      </c>
      <c r="F145" s="904">
        <f t="shared" si="159"/>
        <v>0</v>
      </c>
      <c r="G145" s="905">
        <f t="shared" ref="G145:Q145" si="168">IF(G88="積上げ",0,+G120)</f>
        <v>0</v>
      </c>
      <c r="H145" s="905">
        <f t="shared" si="168"/>
        <v>0</v>
      </c>
      <c r="I145" s="905">
        <f t="shared" si="168"/>
        <v>0</v>
      </c>
      <c r="J145" s="905">
        <f t="shared" ref="J145:L145" si="169">IF(J88="積上げ",0,+J120)</f>
        <v>0</v>
      </c>
      <c r="K145" s="905">
        <f t="shared" si="169"/>
        <v>0</v>
      </c>
      <c r="L145" s="905">
        <f t="shared" si="169"/>
        <v>0</v>
      </c>
      <c r="M145" s="905">
        <f t="shared" si="168"/>
        <v>0</v>
      </c>
      <c r="N145" s="905">
        <f t="shared" si="168"/>
        <v>0</v>
      </c>
      <c r="O145" s="905">
        <f t="shared" si="168"/>
        <v>0</v>
      </c>
      <c r="P145" s="905">
        <f t="shared" si="168"/>
        <v>0</v>
      </c>
      <c r="Q145" s="905">
        <f t="shared" si="168"/>
        <v>0</v>
      </c>
    </row>
    <row r="146" spans="1:17" s="889" customFormat="1" ht="15" hidden="1" customHeight="1">
      <c r="A146" s="2773"/>
      <c r="B146" s="2758" t="s">
        <v>2534</v>
      </c>
      <c r="C146" s="1101" t="s">
        <v>2630</v>
      </c>
      <c r="D146" s="1102">
        <v>1</v>
      </c>
      <c r="E146" s="1104">
        <v>0.01</v>
      </c>
      <c r="F146" s="904">
        <f t="shared" si="159"/>
        <v>0</v>
      </c>
      <c r="G146" s="905">
        <f t="shared" ref="G146:Q146" si="170">IF(G88="積上げ",0,+G121)</f>
        <v>0</v>
      </c>
      <c r="H146" s="905">
        <f t="shared" si="170"/>
        <v>0</v>
      </c>
      <c r="I146" s="905">
        <f t="shared" si="170"/>
        <v>0</v>
      </c>
      <c r="J146" s="905">
        <f t="shared" ref="J146:L146" si="171">IF(J88="積上げ",0,+J121)</f>
        <v>0</v>
      </c>
      <c r="K146" s="905">
        <f t="shared" si="171"/>
        <v>0</v>
      </c>
      <c r="L146" s="905">
        <f t="shared" si="171"/>
        <v>0</v>
      </c>
      <c r="M146" s="905">
        <f t="shared" si="170"/>
        <v>0</v>
      </c>
      <c r="N146" s="905">
        <f t="shared" si="170"/>
        <v>0</v>
      </c>
      <c r="O146" s="905">
        <f t="shared" si="170"/>
        <v>0</v>
      </c>
      <c r="P146" s="905">
        <f t="shared" si="170"/>
        <v>0</v>
      </c>
      <c r="Q146" s="905">
        <f t="shared" si="170"/>
        <v>0</v>
      </c>
    </row>
    <row r="147" spans="1:17" s="889" customFormat="1" ht="15" hidden="1" customHeight="1">
      <c r="A147" s="2773"/>
      <c r="B147" s="2756"/>
      <c r="C147" s="1101" t="s">
        <v>2631</v>
      </c>
      <c r="D147" s="1102">
        <v>1</v>
      </c>
      <c r="E147" s="1104">
        <v>0.01</v>
      </c>
      <c r="F147" s="904">
        <f t="shared" si="159"/>
        <v>0</v>
      </c>
      <c r="G147" s="905">
        <f t="shared" ref="G147:Q147" si="172">IF(G88="積上げ",0,G122)</f>
        <v>0</v>
      </c>
      <c r="H147" s="905">
        <f t="shared" si="172"/>
        <v>0</v>
      </c>
      <c r="I147" s="905">
        <f t="shared" si="172"/>
        <v>0</v>
      </c>
      <c r="J147" s="905">
        <f t="shared" ref="J147:L147" si="173">IF(J88="積上げ",0,J122)</f>
        <v>0</v>
      </c>
      <c r="K147" s="905">
        <f t="shared" si="173"/>
        <v>0</v>
      </c>
      <c r="L147" s="905">
        <f t="shared" si="173"/>
        <v>0</v>
      </c>
      <c r="M147" s="905">
        <f t="shared" si="172"/>
        <v>0</v>
      </c>
      <c r="N147" s="905">
        <f t="shared" si="172"/>
        <v>0</v>
      </c>
      <c r="O147" s="905">
        <f t="shared" si="172"/>
        <v>0</v>
      </c>
      <c r="P147" s="905">
        <f t="shared" si="172"/>
        <v>0</v>
      </c>
      <c r="Q147" s="905">
        <f t="shared" si="172"/>
        <v>0</v>
      </c>
    </row>
    <row r="148" spans="1:17" s="889" customFormat="1" ht="15" hidden="1" customHeight="1">
      <c r="A148" s="2773"/>
      <c r="B148" s="2756"/>
      <c r="C148" s="1101" t="s">
        <v>2537</v>
      </c>
      <c r="D148" s="1102">
        <v>1</v>
      </c>
      <c r="E148" s="1104">
        <v>0.01</v>
      </c>
      <c r="F148" s="904">
        <f t="shared" si="159"/>
        <v>0</v>
      </c>
      <c r="G148" s="905">
        <f t="shared" ref="G148:Q148" si="174">IF(G88="積上げ",0,G123)</f>
        <v>0</v>
      </c>
      <c r="H148" s="905">
        <f t="shared" si="174"/>
        <v>0</v>
      </c>
      <c r="I148" s="905">
        <f t="shared" si="174"/>
        <v>0</v>
      </c>
      <c r="J148" s="905">
        <f t="shared" ref="J148:L148" si="175">IF(J88="積上げ",0,J123)</f>
        <v>0</v>
      </c>
      <c r="K148" s="905">
        <f t="shared" si="175"/>
        <v>0</v>
      </c>
      <c r="L148" s="905">
        <f t="shared" si="175"/>
        <v>0</v>
      </c>
      <c r="M148" s="905">
        <f t="shared" si="174"/>
        <v>0</v>
      </c>
      <c r="N148" s="905">
        <f t="shared" si="174"/>
        <v>0</v>
      </c>
      <c r="O148" s="905">
        <f t="shared" si="174"/>
        <v>0</v>
      </c>
      <c r="P148" s="905">
        <f t="shared" si="174"/>
        <v>0</v>
      </c>
      <c r="Q148" s="905">
        <f t="shared" si="174"/>
        <v>0</v>
      </c>
    </row>
    <row r="149" spans="1:17" s="889" customFormat="1" ht="14.25" hidden="1" customHeight="1">
      <c r="A149" s="2773"/>
      <c r="B149" s="2756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  <c r="O149" s="905"/>
      <c r="P149" s="905"/>
      <c r="Q149" s="905"/>
    </row>
    <row r="150" spans="1:17" s="889" customFormat="1" ht="14.25" hidden="1" customHeight="1">
      <c r="A150" s="2773"/>
      <c r="B150" s="2756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  <c r="O150" s="905"/>
      <c r="P150" s="905"/>
      <c r="Q150" s="905"/>
    </row>
    <row r="151" spans="1:17" s="889" customFormat="1" ht="15" hidden="1" customHeight="1">
      <c r="A151" s="2773"/>
      <c r="B151" s="2756"/>
      <c r="C151" s="1101" t="s">
        <v>2540</v>
      </c>
      <c r="D151" s="1102">
        <v>1</v>
      </c>
      <c r="E151" s="1104">
        <v>0.01</v>
      </c>
      <c r="F151" s="904">
        <f>SUM(G151:Q151)</f>
        <v>0</v>
      </c>
      <c r="G151" s="905">
        <f t="shared" ref="G151:Q151" si="176">IF(G88="積上げ",0,+G126)</f>
        <v>0</v>
      </c>
      <c r="H151" s="905">
        <f t="shared" si="176"/>
        <v>0</v>
      </c>
      <c r="I151" s="905">
        <f t="shared" si="176"/>
        <v>0</v>
      </c>
      <c r="J151" s="905">
        <f t="shared" ref="J151:L151" si="177">IF(J88="積上げ",0,+J126)</f>
        <v>0</v>
      </c>
      <c r="K151" s="905">
        <f t="shared" si="177"/>
        <v>0</v>
      </c>
      <c r="L151" s="905">
        <f t="shared" si="177"/>
        <v>0</v>
      </c>
      <c r="M151" s="905">
        <f t="shared" si="176"/>
        <v>0</v>
      </c>
      <c r="N151" s="905">
        <f t="shared" si="176"/>
        <v>0</v>
      </c>
      <c r="O151" s="905">
        <f t="shared" si="176"/>
        <v>0</v>
      </c>
      <c r="P151" s="905">
        <f t="shared" si="176"/>
        <v>0</v>
      </c>
      <c r="Q151" s="905">
        <f t="shared" si="176"/>
        <v>0</v>
      </c>
    </row>
    <row r="152" spans="1:17" s="889" customFormat="1" ht="15" hidden="1" customHeight="1">
      <c r="A152" s="2773"/>
      <c r="B152" s="2756"/>
      <c r="C152" s="1105" t="s">
        <v>2618</v>
      </c>
      <c r="D152" s="1102">
        <v>1</v>
      </c>
      <c r="E152" s="1104">
        <v>0.01</v>
      </c>
      <c r="F152" s="904">
        <f>SUM(G152:Q152)</f>
        <v>0</v>
      </c>
      <c r="G152" s="905">
        <f t="shared" ref="G152:Q152" si="178">IF(G88="積上げ",0,+G127)</f>
        <v>0</v>
      </c>
      <c r="H152" s="905">
        <f t="shared" si="178"/>
        <v>0</v>
      </c>
      <c r="I152" s="905">
        <f t="shared" si="178"/>
        <v>0</v>
      </c>
      <c r="J152" s="905">
        <f t="shared" ref="J152:L152" si="179">IF(J88="積上げ",0,+J127)</f>
        <v>0</v>
      </c>
      <c r="K152" s="905">
        <f t="shared" si="179"/>
        <v>0</v>
      </c>
      <c r="L152" s="905">
        <f t="shared" si="179"/>
        <v>0</v>
      </c>
      <c r="M152" s="905">
        <f t="shared" si="178"/>
        <v>0</v>
      </c>
      <c r="N152" s="905">
        <f t="shared" si="178"/>
        <v>0</v>
      </c>
      <c r="O152" s="905">
        <f t="shared" si="178"/>
        <v>0</v>
      </c>
      <c r="P152" s="905">
        <f t="shared" si="178"/>
        <v>0</v>
      </c>
      <c r="Q152" s="905">
        <f t="shared" si="178"/>
        <v>0</v>
      </c>
    </row>
    <row r="153" spans="1:17" s="889" customFormat="1" ht="15" hidden="1" customHeight="1">
      <c r="A153" s="2773"/>
      <c r="B153" s="2756"/>
      <c r="C153" s="1105" t="s">
        <v>2619</v>
      </c>
      <c r="D153" s="1102">
        <v>1</v>
      </c>
      <c r="E153" s="1104">
        <v>0.01</v>
      </c>
      <c r="F153" s="904">
        <f>SUM(G153:Q153)</f>
        <v>0</v>
      </c>
      <c r="G153" s="905">
        <f t="shared" ref="G153:Q153" si="180">IF(G88="積上げ",0,+G128)</f>
        <v>0</v>
      </c>
      <c r="H153" s="905">
        <f t="shared" si="180"/>
        <v>0</v>
      </c>
      <c r="I153" s="905">
        <f t="shared" si="180"/>
        <v>0</v>
      </c>
      <c r="J153" s="905">
        <f t="shared" ref="J153:L153" si="181">IF(J88="積上げ",0,+J128)</f>
        <v>0</v>
      </c>
      <c r="K153" s="905">
        <f t="shared" si="181"/>
        <v>0</v>
      </c>
      <c r="L153" s="905">
        <f t="shared" si="181"/>
        <v>0</v>
      </c>
      <c r="M153" s="905">
        <f t="shared" si="180"/>
        <v>0</v>
      </c>
      <c r="N153" s="905">
        <f t="shared" si="180"/>
        <v>0</v>
      </c>
      <c r="O153" s="905">
        <f t="shared" si="180"/>
        <v>0</v>
      </c>
      <c r="P153" s="905">
        <f t="shared" si="180"/>
        <v>0</v>
      </c>
      <c r="Q153" s="905">
        <f t="shared" si="180"/>
        <v>0</v>
      </c>
    </row>
    <row r="154" spans="1:17" s="889" customFormat="1" ht="15" hidden="1" customHeight="1">
      <c r="A154" s="2773"/>
      <c r="B154" s="2757"/>
      <c r="C154" s="1101" t="s">
        <v>2543</v>
      </c>
      <c r="D154" s="1102">
        <v>1</v>
      </c>
      <c r="E154" s="1104">
        <v>0.01</v>
      </c>
      <c r="F154" s="904">
        <f>SUM(G154:Q154)</f>
        <v>0</v>
      </c>
      <c r="G154" s="905">
        <f t="shared" ref="G154:Q154" si="182">IF(G88="積上げ",0,+G129)</f>
        <v>0</v>
      </c>
      <c r="H154" s="905">
        <f t="shared" si="182"/>
        <v>0</v>
      </c>
      <c r="I154" s="905">
        <f t="shared" si="182"/>
        <v>0</v>
      </c>
      <c r="J154" s="905">
        <f t="shared" ref="J154:L154" si="183">IF(J88="積上げ",0,+J129)</f>
        <v>0</v>
      </c>
      <c r="K154" s="905">
        <f t="shared" si="183"/>
        <v>0</v>
      </c>
      <c r="L154" s="905">
        <f t="shared" si="183"/>
        <v>0</v>
      </c>
      <c r="M154" s="905">
        <f t="shared" si="182"/>
        <v>0</v>
      </c>
      <c r="N154" s="905">
        <f t="shared" si="182"/>
        <v>0</v>
      </c>
      <c r="O154" s="905">
        <f t="shared" si="182"/>
        <v>0</v>
      </c>
      <c r="P154" s="905">
        <f t="shared" si="182"/>
        <v>0</v>
      </c>
      <c r="Q154" s="905">
        <f t="shared" si="182"/>
        <v>0</v>
      </c>
    </row>
    <row r="155" spans="1:17" s="889" customFormat="1" ht="15" hidden="1" customHeight="1">
      <c r="A155" s="2774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SUM(G155:Q155)</f>
        <v>388791162</v>
      </c>
      <c r="G155" s="1064">
        <f t="shared" ref="G155:Q155" si="184">IF(G88="積上げ",0,SUM(G133:G136)+G130)</f>
        <v>33425885</v>
      </c>
      <c r="H155" s="1064">
        <f t="shared" si="184"/>
        <v>22318883</v>
      </c>
      <c r="I155" s="1064">
        <f t="shared" si="184"/>
        <v>2131661</v>
      </c>
      <c r="J155" s="1064">
        <f t="shared" ref="J155:L155" si="185">IF(J88="積上げ",0,SUM(J133:J136)+J130)</f>
        <v>107929486</v>
      </c>
      <c r="K155" s="1064">
        <f t="shared" si="185"/>
        <v>10208163</v>
      </c>
      <c r="L155" s="1064">
        <f t="shared" si="185"/>
        <v>44795961</v>
      </c>
      <c r="M155" s="1064">
        <f t="shared" si="184"/>
        <v>28913934</v>
      </c>
      <c r="N155" s="1064">
        <f t="shared" si="184"/>
        <v>139067189</v>
      </c>
      <c r="O155" s="1064">
        <f t="shared" si="184"/>
        <v>0</v>
      </c>
      <c r="P155" s="1064">
        <f t="shared" si="184"/>
        <v>0</v>
      </c>
      <c r="Q155" s="1064">
        <f t="shared" si="184"/>
        <v>0</v>
      </c>
    </row>
    <row r="156" spans="1:17" s="889" customFormat="1" ht="15" hidden="1" customHeight="1">
      <c r="A156" s="1110"/>
      <c r="B156" s="1111"/>
      <c r="C156" s="1112"/>
      <c r="D156" s="2775"/>
      <c r="E156" s="2775"/>
      <c r="F156" s="1099"/>
      <c r="G156" s="1100"/>
      <c r="H156" s="1100"/>
      <c r="I156" s="1100"/>
      <c r="J156" s="1100"/>
      <c r="K156" s="1100"/>
      <c r="L156" s="1100"/>
      <c r="M156" s="1100"/>
      <c r="N156" s="1100"/>
      <c r="O156" s="1100"/>
      <c r="P156" s="1100"/>
      <c r="Q156" s="1113"/>
    </row>
    <row r="157" spans="1:17" s="889" customFormat="1" ht="15" hidden="1" customHeight="1">
      <c r="A157" s="2769" t="s">
        <v>2634</v>
      </c>
      <c r="B157" s="2770"/>
      <c r="C157" s="2771"/>
      <c r="D157" s="2776"/>
      <c r="E157" s="2776"/>
      <c r="F157" s="1092"/>
      <c r="G157" s="1093"/>
      <c r="H157" s="1093"/>
      <c r="I157" s="1093"/>
      <c r="J157" s="1093"/>
      <c r="K157" s="1093"/>
      <c r="L157" s="1093"/>
      <c r="M157" s="1093"/>
      <c r="N157" s="1093"/>
      <c r="O157" s="1093"/>
      <c r="P157" s="1093"/>
      <c r="Q157" s="1094"/>
    </row>
    <row r="158" spans="1:17" s="889" customFormat="1" ht="15" hidden="1" customHeight="1">
      <c r="A158" s="2772"/>
      <c r="B158" s="275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Q158" si="186">IF(G142=0,0,IF(G90="有り",+G264/100,G265/100))</f>
        <v>0</v>
      </c>
      <c r="H158" s="1118">
        <f t="shared" si="186"/>
        <v>0</v>
      </c>
      <c r="I158" s="1118">
        <f t="shared" si="186"/>
        <v>0</v>
      </c>
      <c r="J158" s="1118">
        <f t="shared" ref="J158:L158" si="187">IF(J142=0,0,IF(J90="有り",+J264/100,J265/100))</f>
        <v>0</v>
      </c>
      <c r="K158" s="1118">
        <f t="shared" si="187"/>
        <v>0</v>
      </c>
      <c r="L158" s="1118">
        <f t="shared" si="187"/>
        <v>0</v>
      </c>
      <c r="M158" s="1118">
        <f t="shared" si="186"/>
        <v>0</v>
      </c>
      <c r="N158" s="1118">
        <f t="shared" si="186"/>
        <v>0</v>
      </c>
      <c r="O158" s="1118">
        <f t="shared" si="186"/>
        <v>0</v>
      </c>
      <c r="P158" s="1118">
        <f t="shared" si="186"/>
        <v>0</v>
      </c>
      <c r="Q158" s="1119">
        <f t="shared" si="186"/>
        <v>0</v>
      </c>
    </row>
    <row r="159" spans="1:17" s="889" customFormat="1" ht="15" hidden="1" customHeight="1">
      <c r="A159" s="2773"/>
      <c r="B159" s="2756"/>
      <c r="C159" s="1120"/>
      <c r="D159" s="1121">
        <f>+D142</f>
        <v>1</v>
      </c>
      <c r="E159" s="1122" t="s">
        <v>2627</v>
      </c>
      <c r="F159" s="1055">
        <f>SUM(G159:Q159)</f>
        <v>0</v>
      </c>
      <c r="G159" s="1071">
        <f>ROUNDDOWN(G142*G158*$D159,0)</f>
        <v>0</v>
      </c>
      <c r="H159" s="1071">
        <f t="shared" ref="H159:Q159" si="188">ROUNDDOWN(H142*H158*$D159,0)</f>
        <v>0</v>
      </c>
      <c r="I159" s="1071">
        <f t="shared" si="188"/>
        <v>0</v>
      </c>
      <c r="J159" s="1071">
        <f t="shared" ref="J159" si="189">ROUNDDOWN(J142*J158*$D159,0)</f>
        <v>0</v>
      </c>
      <c r="K159" s="1071">
        <f>ROUNDDOWN(K142*K158*$D159,0)</f>
        <v>0</v>
      </c>
      <c r="L159" s="1071">
        <f t="shared" ref="L159" si="190">ROUNDDOWN(L142*L158*$D159,0)</f>
        <v>0</v>
      </c>
      <c r="M159" s="1071">
        <f t="shared" si="188"/>
        <v>0</v>
      </c>
      <c r="N159" s="1071">
        <f>ROUNDDOWN(N142*N158*$D159,0)</f>
        <v>0</v>
      </c>
      <c r="O159" s="1071">
        <f t="shared" si="188"/>
        <v>0</v>
      </c>
      <c r="P159" s="1071">
        <f t="shared" si="188"/>
        <v>0</v>
      </c>
      <c r="Q159" s="1072">
        <f t="shared" si="188"/>
        <v>0</v>
      </c>
    </row>
    <row r="160" spans="1:17" s="889" customFormat="1" ht="15" hidden="1" customHeight="1">
      <c r="A160" s="2773"/>
      <c r="B160" s="2756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Q160" si="191">IF(G143=0,0,IF(G90="有り",G273/100,+G274/100))</f>
        <v>0</v>
      </c>
      <c r="H160" s="1126">
        <f t="shared" si="191"/>
        <v>0</v>
      </c>
      <c r="I160" s="1126">
        <f t="shared" si="191"/>
        <v>0</v>
      </c>
      <c r="J160" s="1126">
        <f t="shared" ref="J160:L160" si="192">IF(J143=0,0,IF(J90="有り",J273/100,+J274/100))</f>
        <v>0</v>
      </c>
      <c r="K160" s="1126">
        <f t="shared" si="192"/>
        <v>0</v>
      </c>
      <c r="L160" s="1126">
        <f t="shared" si="192"/>
        <v>0</v>
      </c>
      <c r="M160" s="1126">
        <f t="shared" si="191"/>
        <v>0</v>
      </c>
      <c r="N160" s="1126">
        <f t="shared" si="191"/>
        <v>0</v>
      </c>
      <c r="O160" s="1126">
        <f t="shared" si="191"/>
        <v>0</v>
      </c>
      <c r="P160" s="1126">
        <f t="shared" si="191"/>
        <v>0</v>
      </c>
      <c r="Q160" s="1127">
        <f t="shared" si="191"/>
        <v>0</v>
      </c>
    </row>
    <row r="161" spans="1:17" s="889" customFormat="1" ht="15" hidden="1" customHeight="1">
      <c r="A161" s="2773"/>
      <c r="B161" s="2756"/>
      <c r="C161" s="1120"/>
      <c r="D161" s="1128">
        <f t="shared" ref="D161:D166" si="193">+D143</f>
        <v>1</v>
      </c>
      <c r="E161" s="1122" t="s">
        <v>2627</v>
      </c>
      <c r="F161" s="1055">
        <f>SUM(G161:Q161)</f>
        <v>0</v>
      </c>
      <c r="G161" s="1071">
        <f>ROUNDDOWN(G143*G160*$D161,0)</f>
        <v>0</v>
      </c>
      <c r="H161" s="1071">
        <f t="shared" ref="H161:Q161" si="194">ROUNDDOWN(H143*H160*$D161,0)</f>
        <v>0</v>
      </c>
      <c r="I161" s="1071">
        <f t="shared" si="194"/>
        <v>0</v>
      </c>
      <c r="J161" s="1071">
        <f t="shared" ref="J161" si="195">ROUNDDOWN(J143*J160*$D161,0)</f>
        <v>0</v>
      </c>
      <c r="K161" s="1071">
        <f>ROUNDDOWN(K143*K160*$D161,0)</f>
        <v>0</v>
      </c>
      <c r="L161" s="1071">
        <f t="shared" ref="L161" si="196">ROUNDDOWN(L143*L160*$D161,0)</f>
        <v>0</v>
      </c>
      <c r="M161" s="1071">
        <f t="shared" si="194"/>
        <v>0</v>
      </c>
      <c r="N161" s="1071">
        <f>ROUNDDOWN(N143*N160*$D161,0)</f>
        <v>0</v>
      </c>
      <c r="O161" s="1071">
        <f t="shared" si="194"/>
        <v>0</v>
      </c>
      <c r="P161" s="1071">
        <f t="shared" si="194"/>
        <v>0</v>
      </c>
      <c r="Q161" s="1072">
        <f t="shared" si="194"/>
        <v>0</v>
      </c>
    </row>
    <row r="162" spans="1:17" s="889" customFormat="1" ht="15" hidden="1" customHeight="1">
      <c r="A162" s="2773"/>
      <c r="B162" s="2756"/>
      <c r="C162" s="1101" t="s">
        <v>2553</v>
      </c>
      <c r="D162" s="1129">
        <v>0.9</v>
      </c>
      <c r="E162" s="1122" t="s">
        <v>2627</v>
      </c>
      <c r="F162" s="1055">
        <f>SUM(G162:Q162)</f>
        <v>0</v>
      </c>
      <c r="G162" s="1071">
        <f>ROUNDDOWN(G144*G158*$D162,0)</f>
        <v>0</v>
      </c>
      <c r="H162" s="1071">
        <f t="shared" ref="H162:Q162" si="197">ROUNDDOWN(H144*H158*$D162,0)</f>
        <v>0</v>
      </c>
      <c r="I162" s="1071">
        <f t="shared" si="197"/>
        <v>0</v>
      </c>
      <c r="J162" s="1071">
        <f t="shared" ref="J162" si="198">ROUNDDOWN(J144*J158*$D162,0)</f>
        <v>0</v>
      </c>
      <c r="K162" s="1071">
        <f>ROUNDDOWN(K144*K158*$D162,0)</f>
        <v>0</v>
      </c>
      <c r="L162" s="1071">
        <f t="shared" ref="L162" si="199">ROUNDDOWN(L144*L158*$D162,0)</f>
        <v>0</v>
      </c>
      <c r="M162" s="1071">
        <f t="shared" si="197"/>
        <v>0</v>
      </c>
      <c r="N162" s="1071">
        <f>ROUNDDOWN(N144*N158*$D162,0)</f>
        <v>0</v>
      </c>
      <c r="O162" s="1071">
        <f t="shared" si="197"/>
        <v>0</v>
      </c>
      <c r="P162" s="1071">
        <f t="shared" si="197"/>
        <v>0</v>
      </c>
      <c r="Q162" s="1072">
        <f t="shared" si="197"/>
        <v>0</v>
      </c>
    </row>
    <row r="163" spans="1:17" s="889" customFormat="1" ht="15" hidden="1" customHeight="1">
      <c r="A163" s="2773"/>
      <c r="B163" s="2757"/>
      <c r="C163" s="1101" t="s">
        <v>2554</v>
      </c>
      <c r="D163" s="1129">
        <v>0.9</v>
      </c>
      <c r="E163" s="1122" t="s">
        <v>2627</v>
      </c>
      <c r="F163" s="1055">
        <f>SUM(G163:Q163)</f>
        <v>0</v>
      </c>
      <c r="G163" s="1071">
        <f>ROUNDDOWN(G145*G160*$D163,0)</f>
        <v>0</v>
      </c>
      <c r="H163" s="1071">
        <f t="shared" ref="H163:Q163" si="200">ROUNDDOWN(H145*H160*$D163,0)</f>
        <v>0</v>
      </c>
      <c r="I163" s="1071">
        <f t="shared" si="200"/>
        <v>0</v>
      </c>
      <c r="J163" s="1071">
        <f t="shared" ref="J163" si="201">ROUNDDOWN(J145*J160*$D163,0)</f>
        <v>0</v>
      </c>
      <c r="K163" s="1071">
        <f>ROUNDDOWN(K145*K160*$D163,0)</f>
        <v>0</v>
      </c>
      <c r="L163" s="1071">
        <f t="shared" ref="L163" si="202">ROUNDDOWN(L145*L160*$D163,0)</f>
        <v>0</v>
      </c>
      <c r="M163" s="1071">
        <f t="shared" si="200"/>
        <v>0</v>
      </c>
      <c r="N163" s="1071">
        <f>ROUNDDOWN(N145*N160*$D163,0)</f>
        <v>0</v>
      </c>
      <c r="O163" s="1071">
        <f t="shared" si="200"/>
        <v>0</v>
      </c>
      <c r="P163" s="1071">
        <f t="shared" si="200"/>
        <v>0</v>
      </c>
      <c r="Q163" s="1072">
        <f t="shared" si="200"/>
        <v>0</v>
      </c>
    </row>
    <row r="164" spans="1:17" s="889" customFormat="1" ht="15" hidden="1" customHeight="1">
      <c r="A164" s="2773"/>
      <c r="B164" s="2758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Q173" si="203">ROUNDDOWN(G146*$E164*$D164,0)</f>
        <v>0</v>
      </c>
      <c r="H164" s="1071">
        <f t="shared" si="203"/>
        <v>0</v>
      </c>
      <c r="I164" s="1071">
        <f t="shared" si="203"/>
        <v>0</v>
      </c>
      <c r="J164" s="1071">
        <f t="shared" ref="J164:L164" si="204">ROUNDDOWN(J146*$E164*$D164,0)</f>
        <v>0</v>
      </c>
      <c r="K164" s="1071">
        <f t="shared" si="204"/>
        <v>0</v>
      </c>
      <c r="L164" s="1071">
        <f t="shared" si="204"/>
        <v>0</v>
      </c>
      <c r="M164" s="1071">
        <f t="shared" si="203"/>
        <v>0</v>
      </c>
      <c r="N164" s="1071">
        <f t="shared" si="203"/>
        <v>0</v>
      </c>
      <c r="O164" s="1071">
        <f t="shared" si="203"/>
        <v>0</v>
      </c>
      <c r="P164" s="1071">
        <f t="shared" si="203"/>
        <v>0</v>
      </c>
      <c r="Q164" s="1071">
        <f t="shared" si="203"/>
        <v>0</v>
      </c>
    </row>
    <row r="165" spans="1:17" s="889" customFormat="1" ht="15" hidden="1" customHeight="1">
      <c r="A165" s="2773"/>
      <c r="B165" s="2756"/>
      <c r="C165" s="1101" t="s">
        <v>2636</v>
      </c>
      <c r="D165" s="1129">
        <f t="shared" si="193"/>
        <v>1</v>
      </c>
      <c r="E165" s="1104">
        <f>+E147</f>
        <v>0.01</v>
      </c>
      <c r="F165" s="904">
        <v>0</v>
      </c>
      <c r="G165" s="1071">
        <f t="shared" si="203"/>
        <v>0</v>
      </c>
      <c r="H165" s="1071">
        <f t="shared" si="203"/>
        <v>0</v>
      </c>
      <c r="I165" s="1071">
        <f t="shared" si="203"/>
        <v>0</v>
      </c>
      <c r="J165" s="1071">
        <f t="shared" ref="J165:L165" si="205">ROUNDDOWN(J147*$E165*$D165,0)</f>
        <v>0</v>
      </c>
      <c r="K165" s="1071">
        <f t="shared" si="205"/>
        <v>0</v>
      </c>
      <c r="L165" s="1071">
        <f t="shared" si="205"/>
        <v>0</v>
      </c>
      <c r="M165" s="1071">
        <f t="shared" si="203"/>
        <v>0</v>
      </c>
      <c r="N165" s="1071">
        <f t="shared" si="203"/>
        <v>0</v>
      </c>
      <c r="O165" s="1071">
        <f t="shared" si="203"/>
        <v>0</v>
      </c>
      <c r="P165" s="1071">
        <f t="shared" si="203"/>
        <v>0</v>
      </c>
      <c r="Q165" s="1071">
        <f t="shared" si="203"/>
        <v>0</v>
      </c>
    </row>
    <row r="166" spans="1:17" s="889" customFormat="1" ht="15" hidden="1" customHeight="1">
      <c r="A166" s="2773"/>
      <c r="B166" s="2756"/>
      <c r="C166" s="1101" t="s">
        <v>2537</v>
      </c>
      <c r="D166" s="1129">
        <f t="shared" si="193"/>
        <v>1</v>
      </c>
      <c r="E166" s="1104">
        <f>+E148</f>
        <v>0.01</v>
      </c>
      <c r="F166" s="904">
        <v>0</v>
      </c>
      <c r="G166" s="1071">
        <f t="shared" si="203"/>
        <v>0</v>
      </c>
      <c r="H166" s="1071">
        <f t="shared" si="203"/>
        <v>0</v>
      </c>
      <c r="I166" s="1071">
        <f t="shared" si="203"/>
        <v>0</v>
      </c>
      <c r="J166" s="1071">
        <f t="shared" ref="J166:L166" si="206">ROUNDDOWN(J148*$E166*$D166,0)</f>
        <v>0</v>
      </c>
      <c r="K166" s="1071">
        <f t="shared" si="206"/>
        <v>0</v>
      </c>
      <c r="L166" s="1071">
        <f t="shared" si="206"/>
        <v>0</v>
      </c>
      <c r="M166" s="1071">
        <f t="shared" si="203"/>
        <v>0</v>
      </c>
      <c r="N166" s="1071">
        <f t="shared" si="203"/>
        <v>0</v>
      </c>
      <c r="O166" s="1071">
        <f t="shared" si="203"/>
        <v>0</v>
      </c>
      <c r="P166" s="1071">
        <f t="shared" si="203"/>
        <v>0</v>
      </c>
      <c r="Q166" s="1071">
        <f t="shared" si="203"/>
        <v>0</v>
      </c>
    </row>
    <row r="167" spans="1:17" s="889" customFormat="1" ht="15" hidden="1" customHeight="1">
      <c r="A167" s="2773"/>
      <c r="B167" s="2756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  <c r="O167" s="1071"/>
      <c r="P167" s="1071"/>
      <c r="Q167" s="1071"/>
    </row>
    <row r="168" spans="1:17" s="889" customFormat="1" ht="15" hidden="1" customHeight="1">
      <c r="A168" s="2773"/>
      <c r="B168" s="2756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  <c r="O168" s="1071"/>
      <c r="P168" s="1071"/>
      <c r="Q168" s="1071"/>
    </row>
    <row r="169" spans="1:17" s="889" customFormat="1" ht="15" hidden="1" customHeight="1">
      <c r="A169" s="2773"/>
      <c r="B169" s="2756"/>
      <c r="C169" s="1101" t="s">
        <v>2540</v>
      </c>
      <c r="D169" s="1129">
        <f t="shared" ref="D169:E173" si="207">+D151</f>
        <v>1</v>
      </c>
      <c r="E169" s="1104">
        <f t="shared" si="207"/>
        <v>0.01</v>
      </c>
      <c r="F169" s="904">
        <v>0</v>
      </c>
      <c r="G169" s="1071">
        <f t="shared" si="203"/>
        <v>0</v>
      </c>
      <c r="H169" s="1071">
        <f t="shared" si="203"/>
        <v>0</v>
      </c>
      <c r="I169" s="1071">
        <f t="shared" si="203"/>
        <v>0</v>
      </c>
      <c r="J169" s="1071">
        <f t="shared" ref="J169:L169" si="208">ROUNDDOWN(J151*$E169*$D169,0)</f>
        <v>0</v>
      </c>
      <c r="K169" s="1071">
        <f t="shared" si="208"/>
        <v>0</v>
      </c>
      <c r="L169" s="1071">
        <f t="shared" si="208"/>
        <v>0</v>
      </c>
      <c r="M169" s="1071">
        <f t="shared" si="203"/>
        <v>0</v>
      </c>
      <c r="N169" s="1071">
        <f t="shared" si="203"/>
        <v>0</v>
      </c>
      <c r="O169" s="1071">
        <f t="shared" si="203"/>
        <v>0</v>
      </c>
      <c r="P169" s="1071">
        <f t="shared" si="203"/>
        <v>0</v>
      </c>
      <c r="Q169" s="1071">
        <f t="shared" si="203"/>
        <v>0</v>
      </c>
    </row>
    <row r="170" spans="1:17" s="889" customFormat="1" ht="15" hidden="1" customHeight="1">
      <c r="A170" s="2773"/>
      <c r="B170" s="2756"/>
      <c r="C170" s="1105" t="s">
        <v>2638</v>
      </c>
      <c r="D170" s="1129">
        <f t="shared" si="207"/>
        <v>1</v>
      </c>
      <c r="E170" s="1104">
        <f t="shared" si="207"/>
        <v>0.01</v>
      </c>
      <c r="F170" s="904">
        <v>0</v>
      </c>
      <c r="G170" s="1071">
        <f t="shared" si="203"/>
        <v>0</v>
      </c>
      <c r="H170" s="1071">
        <f t="shared" si="203"/>
        <v>0</v>
      </c>
      <c r="I170" s="1071">
        <f t="shared" si="203"/>
        <v>0</v>
      </c>
      <c r="J170" s="1071">
        <f t="shared" ref="J170:L170" si="209">ROUNDDOWN(J152*$E170*$D170,0)</f>
        <v>0</v>
      </c>
      <c r="K170" s="1071">
        <f t="shared" si="209"/>
        <v>0</v>
      </c>
      <c r="L170" s="1071">
        <f t="shared" si="209"/>
        <v>0</v>
      </c>
      <c r="M170" s="1071">
        <f t="shared" si="203"/>
        <v>0</v>
      </c>
      <c r="N170" s="1071">
        <f t="shared" si="203"/>
        <v>0</v>
      </c>
      <c r="O170" s="1071">
        <f t="shared" si="203"/>
        <v>0</v>
      </c>
      <c r="P170" s="1071">
        <f t="shared" si="203"/>
        <v>0</v>
      </c>
      <c r="Q170" s="1071">
        <f t="shared" si="203"/>
        <v>0</v>
      </c>
    </row>
    <row r="171" spans="1:17" s="889" customFormat="1" ht="15" hidden="1" customHeight="1">
      <c r="A171" s="2773"/>
      <c r="B171" s="2756"/>
      <c r="C171" s="1105" t="s">
        <v>2639</v>
      </c>
      <c r="D171" s="1129">
        <f t="shared" si="207"/>
        <v>1</v>
      </c>
      <c r="E171" s="1104">
        <f t="shared" si="207"/>
        <v>0.01</v>
      </c>
      <c r="F171" s="904">
        <v>0</v>
      </c>
      <c r="G171" s="1071">
        <f t="shared" si="203"/>
        <v>0</v>
      </c>
      <c r="H171" s="1071">
        <f t="shared" si="203"/>
        <v>0</v>
      </c>
      <c r="I171" s="1071">
        <f t="shared" si="203"/>
        <v>0</v>
      </c>
      <c r="J171" s="1071">
        <f t="shared" ref="J171:L171" si="210">ROUNDDOWN(J153*$E171*$D171,0)</f>
        <v>0</v>
      </c>
      <c r="K171" s="1071">
        <f t="shared" si="210"/>
        <v>0</v>
      </c>
      <c r="L171" s="1071">
        <f t="shared" si="210"/>
        <v>0</v>
      </c>
      <c r="M171" s="1071">
        <f t="shared" si="203"/>
        <v>0</v>
      </c>
      <c r="N171" s="1071">
        <f t="shared" si="203"/>
        <v>0</v>
      </c>
      <c r="O171" s="1071">
        <f t="shared" si="203"/>
        <v>0</v>
      </c>
      <c r="P171" s="1071">
        <f t="shared" si="203"/>
        <v>0</v>
      </c>
      <c r="Q171" s="1071">
        <f t="shared" si="203"/>
        <v>0</v>
      </c>
    </row>
    <row r="172" spans="1:17" s="889" customFormat="1" ht="15" hidden="1" customHeight="1">
      <c r="A172" s="2773"/>
      <c r="B172" s="2757"/>
      <c r="C172" s="1101" t="s">
        <v>2543</v>
      </c>
      <c r="D172" s="1129">
        <f t="shared" si="207"/>
        <v>1</v>
      </c>
      <c r="E172" s="1104">
        <f t="shared" si="207"/>
        <v>0.01</v>
      </c>
      <c r="F172" s="904">
        <v>0</v>
      </c>
      <c r="G172" s="1071">
        <f t="shared" si="203"/>
        <v>0</v>
      </c>
      <c r="H172" s="1071">
        <f t="shared" si="203"/>
        <v>0</v>
      </c>
      <c r="I172" s="1071">
        <f t="shared" si="203"/>
        <v>0</v>
      </c>
      <c r="J172" s="1071">
        <f t="shared" ref="J172:L172" si="211">ROUNDDOWN(J154*$E172*$D172,0)</f>
        <v>0</v>
      </c>
      <c r="K172" s="1071">
        <f t="shared" si="211"/>
        <v>0</v>
      </c>
      <c r="L172" s="1071">
        <f t="shared" si="211"/>
        <v>0</v>
      </c>
      <c r="M172" s="1071">
        <f t="shared" si="203"/>
        <v>0</v>
      </c>
      <c r="N172" s="1071">
        <f t="shared" si="203"/>
        <v>0</v>
      </c>
      <c r="O172" s="1071">
        <f t="shared" si="203"/>
        <v>0</v>
      </c>
      <c r="P172" s="1071">
        <f t="shared" si="203"/>
        <v>0</v>
      </c>
      <c r="Q172" s="1071">
        <f t="shared" si="203"/>
        <v>0</v>
      </c>
    </row>
    <row r="173" spans="1:17" s="889" customFormat="1" ht="15" hidden="1" customHeight="1" thickBot="1">
      <c r="A173" s="2777"/>
      <c r="B173" s="1131" t="s">
        <v>2632</v>
      </c>
      <c r="C173" s="1132" t="s">
        <v>2640</v>
      </c>
      <c r="D173" s="1133">
        <f t="shared" si="207"/>
        <v>1</v>
      </c>
      <c r="E173" s="1134">
        <f t="shared" si="207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203"/>
        <v>0</v>
      </c>
      <c r="J173" s="1071">
        <f t="shared" ref="J173:L173" si="212">ROUNDDOWN(J155*$E173*$D173,0)</f>
        <v>0</v>
      </c>
      <c r="K173" s="1071">
        <f t="shared" si="212"/>
        <v>0</v>
      </c>
      <c r="L173" s="1071">
        <f t="shared" si="212"/>
        <v>0</v>
      </c>
      <c r="M173" s="1071">
        <f t="shared" si="203"/>
        <v>0</v>
      </c>
      <c r="N173" s="1071">
        <f t="shared" si="203"/>
        <v>0</v>
      </c>
      <c r="O173" s="1071">
        <f t="shared" si="203"/>
        <v>0</v>
      </c>
      <c r="P173" s="1071">
        <f t="shared" si="203"/>
        <v>0</v>
      </c>
      <c r="Q173" s="1071">
        <f t="shared" si="203"/>
        <v>0</v>
      </c>
    </row>
    <row r="174" spans="1:17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SUM(G174:Q174)</f>
        <v>0</v>
      </c>
      <c r="G174" s="1142">
        <f>SUM(G161:G173)+G159</f>
        <v>0</v>
      </c>
      <c r="H174" s="1142">
        <f t="shared" ref="H174:Q174" si="213">SUM(H161:H173)+H159</f>
        <v>0</v>
      </c>
      <c r="I174" s="1142">
        <f t="shared" si="213"/>
        <v>0</v>
      </c>
      <c r="J174" s="1142">
        <f t="shared" ref="J174" si="214">SUM(J161:J173)+J159</f>
        <v>0</v>
      </c>
      <c r="K174" s="1142">
        <f>SUM(K161:K173)+K159</f>
        <v>0</v>
      </c>
      <c r="L174" s="1142">
        <f t="shared" ref="L174" si="215">SUM(L161:L173)+L159</f>
        <v>0</v>
      </c>
      <c r="M174" s="1142">
        <f t="shared" si="213"/>
        <v>0</v>
      </c>
      <c r="N174" s="1142">
        <f>SUM(N161:N173)+N159</f>
        <v>0</v>
      </c>
      <c r="O174" s="1142">
        <f t="shared" si="213"/>
        <v>0</v>
      </c>
      <c r="P174" s="1142">
        <f t="shared" si="213"/>
        <v>0</v>
      </c>
      <c r="Q174" s="1143">
        <f t="shared" si="213"/>
        <v>0</v>
      </c>
    </row>
    <row r="175" spans="1:17" s="889" customFormat="1" ht="15" customHeight="1">
      <c r="A175" s="880"/>
      <c r="B175" s="880"/>
      <c r="C175" s="917"/>
      <c r="D175" s="917"/>
      <c r="E175" s="880"/>
      <c r="F175" s="1144"/>
      <c r="G175" s="908"/>
      <c r="H175" s="908"/>
      <c r="I175" s="908"/>
      <c r="J175" s="908"/>
      <c r="K175" s="908"/>
      <c r="L175" s="908"/>
      <c r="M175" s="908"/>
      <c r="N175" s="908"/>
      <c r="O175" s="908"/>
      <c r="P175" s="908"/>
      <c r="Q175" s="908"/>
    </row>
    <row r="176" spans="1:17" s="889" customFormat="1" ht="15" customHeight="1">
      <c r="A176" s="880"/>
      <c r="B176" s="880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37"/>
      <c r="O176" s="1037"/>
      <c r="P176" s="1037"/>
      <c r="Q176" s="1091" t="s">
        <v>2643</v>
      </c>
    </row>
    <row r="177" spans="1:17" s="889" customFormat="1" ht="15" customHeight="1">
      <c r="A177" s="880"/>
      <c r="B177" s="880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37"/>
      <c r="O177" s="1037"/>
      <c r="P177" s="1037"/>
      <c r="Q177" s="1091"/>
    </row>
    <row r="178" spans="1:17" s="889" customFormat="1" ht="15" customHeight="1">
      <c r="A178" s="870"/>
      <c r="B178" s="871"/>
      <c r="C178" s="871"/>
      <c r="D178" s="2767" t="s">
        <v>2623</v>
      </c>
      <c r="E178" s="2767" t="s">
        <v>2624</v>
      </c>
      <c r="F178" s="1083" t="s">
        <v>2505</v>
      </c>
      <c r="G178" s="1084" t="str">
        <f t="shared" ref="G178:Q178" si="216">+G86</f>
        <v>工事1</v>
      </c>
      <c r="H178" s="1084" t="str">
        <f t="shared" si="216"/>
        <v>工事2</v>
      </c>
      <c r="I178" s="1084" t="str">
        <f t="shared" si="216"/>
        <v>工事3</v>
      </c>
      <c r="J178" s="1084" t="str">
        <f t="shared" ref="J178:L178" si="217">+J86</f>
        <v>工事4</v>
      </c>
      <c r="K178" s="1084" t="str">
        <f t="shared" si="217"/>
        <v>工事5</v>
      </c>
      <c r="L178" s="1084" t="str">
        <f t="shared" si="217"/>
        <v>工事6</v>
      </c>
      <c r="M178" s="1084" t="str">
        <f t="shared" si="216"/>
        <v>工事7</v>
      </c>
      <c r="N178" s="1084" t="str">
        <f t="shared" si="216"/>
        <v>工事8</v>
      </c>
      <c r="O178" s="1084">
        <f t="shared" si="216"/>
        <v>0</v>
      </c>
      <c r="P178" s="1084">
        <f t="shared" si="216"/>
        <v>0</v>
      </c>
      <c r="Q178" s="1085">
        <f t="shared" si="216"/>
        <v>0</v>
      </c>
    </row>
    <row r="179" spans="1:17" s="889" customFormat="1" ht="15" customHeight="1">
      <c r="A179" s="2769" t="s">
        <v>2645</v>
      </c>
      <c r="B179" s="2770"/>
      <c r="C179" s="2771"/>
      <c r="D179" s="2768"/>
      <c r="E179" s="2768"/>
      <c r="F179" s="1092"/>
      <c r="G179" s="1093"/>
      <c r="H179" s="1093"/>
      <c r="I179" s="1093"/>
      <c r="J179" s="1093"/>
      <c r="K179" s="1093"/>
      <c r="L179" s="1093"/>
      <c r="M179" s="1093"/>
      <c r="N179" s="1093"/>
      <c r="O179" s="1093"/>
      <c r="P179" s="1093"/>
      <c r="Q179" s="1094"/>
    </row>
    <row r="180" spans="1:17" s="889" customFormat="1" ht="15" customHeight="1">
      <c r="A180" s="2772"/>
      <c r="B180" s="1095" t="s">
        <v>2646</v>
      </c>
      <c r="C180" s="1096"/>
      <c r="D180" s="1097"/>
      <c r="E180" s="1098"/>
      <c r="F180" s="1099">
        <f t="shared" ref="F180:F187" si="218">SUM(G180:Q180)</f>
        <v>0</v>
      </c>
      <c r="G180" s="1100">
        <f>+G91-G135-G134-G130-G131</f>
        <v>0</v>
      </c>
      <c r="H180" s="1100">
        <f t="shared" ref="H180:Q180" si="219">+H91-H135-H134-H130-H131</f>
        <v>0</v>
      </c>
      <c r="I180" s="1100">
        <f t="shared" si="219"/>
        <v>0</v>
      </c>
      <c r="J180" s="1100">
        <f t="shared" ref="J180" si="220">+J91-J135-J134-J130-J131</f>
        <v>0</v>
      </c>
      <c r="K180" s="1100">
        <f>+K91-K135-K134-K130-K131</f>
        <v>0</v>
      </c>
      <c r="L180" s="1100">
        <f t="shared" ref="L180" si="221">+L91-L135-L134-L130-L131</f>
        <v>0</v>
      </c>
      <c r="M180" s="1100">
        <f t="shared" si="219"/>
        <v>0</v>
      </c>
      <c r="N180" s="1100">
        <f>+N91-N135-N134-N130-N131</f>
        <v>0</v>
      </c>
      <c r="O180" s="1100">
        <f t="shared" si="219"/>
        <v>0</v>
      </c>
      <c r="P180" s="1100">
        <f t="shared" si="219"/>
        <v>0</v>
      </c>
      <c r="Q180" s="1113">
        <f t="shared" si="219"/>
        <v>0</v>
      </c>
    </row>
    <row r="181" spans="1:17" s="889" customFormat="1" ht="15" customHeight="1">
      <c r="A181" s="2773"/>
      <c r="B181" s="2758" t="s">
        <v>2529</v>
      </c>
      <c r="C181" s="1101" t="s">
        <v>2530</v>
      </c>
      <c r="D181" s="1102">
        <v>1</v>
      </c>
      <c r="E181" s="1103" t="s">
        <v>2627</v>
      </c>
      <c r="F181" s="904">
        <f t="shared" si="218"/>
        <v>0</v>
      </c>
      <c r="G181" s="905">
        <f>IF(G117&gt;=G118,+G117+G159+G98-G99-G100-G135,G117+G159)</f>
        <v>0</v>
      </c>
      <c r="H181" s="905">
        <f t="shared" ref="H181:Q181" si="222">IF(H117&gt;=H118,+H117+H159+H98-H99-H100-H135,H117+H159)</f>
        <v>0</v>
      </c>
      <c r="I181" s="905">
        <f t="shared" si="222"/>
        <v>0</v>
      </c>
      <c r="J181" s="905">
        <f t="shared" ref="J181:L181" si="223">IF(J117&gt;=J118,+J117+J159+J98-J99-J100-J135,J117+J159)</f>
        <v>0</v>
      </c>
      <c r="K181" s="905">
        <f t="shared" si="223"/>
        <v>0</v>
      </c>
      <c r="L181" s="905">
        <f t="shared" si="223"/>
        <v>0</v>
      </c>
      <c r="M181" s="905">
        <f t="shared" si="222"/>
        <v>0</v>
      </c>
      <c r="N181" s="905">
        <f t="shared" si="222"/>
        <v>0</v>
      </c>
      <c r="O181" s="905">
        <f t="shared" si="222"/>
        <v>0</v>
      </c>
      <c r="P181" s="905">
        <f t="shared" si="222"/>
        <v>0</v>
      </c>
      <c r="Q181" s="906">
        <f t="shared" si="222"/>
        <v>0</v>
      </c>
    </row>
    <row r="182" spans="1:17" s="889" customFormat="1" ht="15" customHeight="1">
      <c r="A182" s="2773"/>
      <c r="B182" s="2756"/>
      <c r="C182" s="1101" t="s">
        <v>2531</v>
      </c>
      <c r="D182" s="1102">
        <v>1</v>
      </c>
      <c r="E182" s="1103" t="s">
        <v>2627</v>
      </c>
      <c r="F182" s="904">
        <f t="shared" si="218"/>
        <v>0</v>
      </c>
      <c r="G182" s="905">
        <f>IF(G117&gt;=G118,+G118+G161,G118+G161+G98-G99-G100-G135)</f>
        <v>0</v>
      </c>
      <c r="H182" s="905">
        <f t="shared" ref="H182:Q182" si="224">IF(H117&gt;=H118,+H118+H161,H118+H161+H98-H99-H100-H135)</f>
        <v>0</v>
      </c>
      <c r="I182" s="905">
        <f t="shared" si="224"/>
        <v>0</v>
      </c>
      <c r="J182" s="905">
        <f t="shared" ref="J182:L182" si="225">IF(J117&gt;=J118,+J118+J161,J118+J161+J98-J99-J100-J135)</f>
        <v>0</v>
      </c>
      <c r="K182" s="905">
        <f t="shared" si="225"/>
        <v>0</v>
      </c>
      <c r="L182" s="905">
        <f t="shared" si="225"/>
        <v>0</v>
      </c>
      <c r="M182" s="905">
        <f t="shared" si="224"/>
        <v>0</v>
      </c>
      <c r="N182" s="905">
        <f t="shared" si="224"/>
        <v>0</v>
      </c>
      <c r="O182" s="905">
        <f t="shared" si="224"/>
        <v>0</v>
      </c>
      <c r="P182" s="905">
        <f t="shared" si="224"/>
        <v>0</v>
      </c>
      <c r="Q182" s="906">
        <f t="shared" si="224"/>
        <v>0</v>
      </c>
    </row>
    <row r="183" spans="1:17" s="889" customFormat="1" ht="15" customHeight="1">
      <c r="A183" s="2773"/>
      <c r="B183" s="2756"/>
      <c r="C183" s="1101" t="s">
        <v>2628</v>
      </c>
      <c r="D183" s="1102">
        <v>1</v>
      </c>
      <c r="E183" s="1103" t="s">
        <v>2627</v>
      </c>
      <c r="F183" s="904">
        <f t="shared" si="218"/>
        <v>0</v>
      </c>
      <c r="G183" s="905">
        <f>+G119+G162</f>
        <v>0</v>
      </c>
      <c r="H183" s="905">
        <f t="shared" ref="H183:Q187" si="226">+H119+H162</f>
        <v>0</v>
      </c>
      <c r="I183" s="905">
        <f t="shared" si="226"/>
        <v>0</v>
      </c>
      <c r="J183" s="905">
        <f t="shared" ref="J183:L183" si="227">+J119+J162</f>
        <v>0</v>
      </c>
      <c r="K183" s="905">
        <f t="shared" si="227"/>
        <v>0</v>
      </c>
      <c r="L183" s="905">
        <f t="shared" si="227"/>
        <v>0</v>
      </c>
      <c r="M183" s="905">
        <f t="shared" si="226"/>
        <v>0</v>
      </c>
      <c r="N183" s="905">
        <f t="shared" si="226"/>
        <v>0</v>
      </c>
      <c r="O183" s="905">
        <f t="shared" si="226"/>
        <v>0</v>
      </c>
      <c r="P183" s="905">
        <f t="shared" si="226"/>
        <v>0</v>
      </c>
      <c r="Q183" s="906">
        <f t="shared" si="226"/>
        <v>0</v>
      </c>
    </row>
    <row r="184" spans="1:17" s="889" customFormat="1" ht="15" customHeight="1">
      <c r="A184" s="2773"/>
      <c r="B184" s="2757"/>
      <c r="C184" s="1101" t="s">
        <v>2629</v>
      </c>
      <c r="D184" s="1102">
        <v>1</v>
      </c>
      <c r="E184" s="1103" t="s">
        <v>2627</v>
      </c>
      <c r="F184" s="904">
        <f t="shared" si="218"/>
        <v>0</v>
      </c>
      <c r="G184" s="905">
        <f>+G120+G163</f>
        <v>0</v>
      </c>
      <c r="H184" s="905">
        <f t="shared" si="226"/>
        <v>0</v>
      </c>
      <c r="I184" s="905">
        <f t="shared" si="226"/>
        <v>0</v>
      </c>
      <c r="J184" s="905">
        <f t="shared" ref="J184:L184" si="228">+J120+J163</f>
        <v>0</v>
      </c>
      <c r="K184" s="905">
        <f t="shared" si="228"/>
        <v>0</v>
      </c>
      <c r="L184" s="905">
        <f t="shared" si="228"/>
        <v>0</v>
      </c>
      <c r="M184" s="905">
        <f t="shared" si="226"/>
        <v>0</v>
      </c>
      <c r="N184" s="905">
        <f t="shared" si="226"/>
        <v>0</v>
      </c>
      <c r="O184" s="905">
        <f t="shared" si="226"/>
        <v>0</v>
      </c>
      <c r="P184" s="905">
        <f t="shared" si="226"/>
        <v>0</v>
      </c>
      <c r="Q184" s="906">
        <f t="shared" si="226"/>
        <v>0</v>
      </c>
    </row>
    <row r="185" spans="1:17" s="889" customFormat="1" ht="15" customHeight="1">
      <c r="A185" s="2773"/>
      <c r="B185" s="2758" t="s">
        <v>2534</v>
      </c>
      <c r="C185" s="1101" t="s">
        <v>2630</v>
      </c>
      <c r="D185" s="1102">
        <v>1</v>
      </c>
      <c r="E185" s="1104">
        <v>0.02</v>
      </c>
      <c r="F185" s="904">
        <f t="shared" si="218"/>
        <v>0</v>
      </c>
      <c r="G185" s="905">
        <f>+G121+G164</f>
        <v>0</v>
      </c>
      <c r="H185" s="905">
        <f t="shared" si="226"/>
        <v>0</v>
      </c>
      <c r="I185" s="905">
        <f t="shared" si="226"/>
        <v>0</v>
      </c>
      <c r="J185" s="905">
        <f t="shared" ref="J185:L185" si="229">+J121+J164</f>
        <v>0</v>
      </c>
      <c r="K185" s="905">
        <f t="shared" si="229"/>
        <v>0</v>
      </c>
      <c r="L185" s="905">
        <f t="shared" si="229"/>
        <v>0</v>
      </c>
      <c r="M185" s="905">
        <f t="shared" si="226"/>
        <v>0</v>
      </c>
      <c r="N185" s="905">
        <f t="shared" si="226"/>
        <v>0</v>
      </c>
      <c r="O185" s="905">
        <f t="shared" si="226"/>
        <v>0</v>
      </c>
      <c r="P185" s="905">
        <f t="shared" si="226"/>
        <v>0</v>
      </c>
      <c r="Q185" s="906">
        <f t="shared" si="226"/>
        <v>0</v>
      </c>
    </row>
    <row r="186" spans="1:17" s="889" customFormat="1" ht="15" customHeight="1">
      <c r="A186" s="2773"/>
      <c r="B186" s="2756"/>
      <c r="C186" s="1101" t="s">
        <v>2631</v>
      </c>
      <c r="D186" s="1102">
        <v>1</v>
      </c>
      <c r="E186" s="1104">
        <v>0.02</v>
      </c>
      <c r="F186" s="904">
        <f t="shared" si="218"/>
        <v>0</v>
      </c>
      <c r="G186" s="905">
        <f>+G122+G165</f>
        <v>0</v>
      </c>
      <c r="H186" s="905">
        <f t="shared" si="226"/>
        <v>0</v>
      </c>
      <c r="I186" s="905">
        <f t="shared" si="226"/>
        <v>0</v>
      </c>
      <c r="J186" s="905">
        <f t="shared" ref="J186:L186" si="230">+J122+J165</f>
        <v>0</v>
      </c>
      <c r="K186" s="905">
        <f t="shared" si="230"/>
        <v>0</v>
      </c>
      <c r="L186" s="905">
        <f t="shared" si="230"/>
        <v>0</v>
      </c>
      <c r="M186" s="905">
        <f t="shared" si="226"/>
        <v>0</v>
      </c>
      <c r="N186" s="905">
        <f t="shared" si="226"/>
        <v>0</v>
      </c>
      <c r="O186" s="905">
        <f t="shared" si="226"/>
        <v>0</v>
      </c>
      <c r="P186" s="905">
        <f t="shared" si="226"/>
        <v>0</v>
      </c>
      <c r="Q186" s="906">
        <f t="shared" si="226"/>
        <v>0</v>
      </c>
    </row>
    <row r="187" spans="1:17" s="889" customFormat="1" ht="15" customHeight="1">
      <c r="A187" s="2773"/>
      <c r="B187" s="2756"/>
      <c r="C187" s="1101" t="s">
        <v>2537</v>
      </c>
      <c r="D187" s="1102">
        <v>1</v>
      </c>
      <c r="E187" s="1104">
        <v>0.02</v>
      </c>
      <c r="F187" s="904">
        <f t="shared" si="218"/>
        <v>0</v>
      </c>
      <c r="G187" s="905">
        <f>+G123+G166</f>
        <v>0</v>
      </c>
      <c r="H187" s="905">
        <f t="shared" si="226"/>
        <v>0</v>
      </c>
      <c r="I187" s="905">
        <f t="shared" si="226"/>
        <v>0</v>
      </c>
      <c r="J187" s="905">
        <f t="shared" ref="J187:L187" si="231">+J123+J166</f>
        <v>0</v>
      </c>
      <c r="K187" s="905">
        <f t="shared" si="231"/>
        <v>0</v>
      </c>
      <c r="L187" s="905">
        <f t="shared" si="231"/>
        <v>0</v>
      </c>
      <c r="M187" s="905">
        <f t="shared" si="226"/>
        <v>0</v>
      </c>
      <c r="N187" s="905">
        <f t="shared" si="226"/>
        <v>0</v>
      </c>
      <c r="O187" s="905">
        <f t="shared" si="226"/>
        <v>0</v>
      </c>
      <c r="P187" s="905">
        <f t="shared" si="226"/>
        <v>0</v>
      </c>
      <c r="Q187" s="906">
        <f t="shared" si="226"/>
        <v>0</v>
      </c>
    </row>
    <row r="188" spans="1:17" s="889" customFormat="1" ht="15" customHeight="1">
      <c r="A188" s="2773"/>
      <c r="B188" s="2756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5"/>
      <c r="O188" s="905"/>
      <c r="P188" s="905"/>
      <c r="Q188" s="906"/>
    </row>
    <row r="189" spans="1:17" s="889" customFormat="1" ht="15" customHeight="1">
      <c r="A189" s="2773"/>
      <c r="B189" s="2756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5"/>
      <c r="O189" s="905"/>
      <c r="P189" s="905"/>
      <c r="Q189" s="906"/>
    </row>
    <row r="190" spans="1:17" s="889" customFormat="1" ht="15" customHeight="1">
      <c r="A190" s="2773"/>
      <c r="B190" s="2756"/>
      <c r="C190" s="1101" t="s">
        <v>2540</v>
      </c>
      <c r="D190" s="1102">
        <v>1</v>
      </c>
      <c r="E190" s="1104">
        <v>0.02</v>
      </c>
      <c r="F190" s="904">
        <f>SUM(G190:Q190)</f>
        <v>0</v>
      </c>
      <c r="G190" s="905">
        <f t="shared" ref="G190:Q193" si="232">+G126+G169</f>
        <v>0</v>
      </c>
      <c r="H190" s="905">
        <f t="shared" si="232"/>
        <v>0</v>
      </c>
      <c r="I190" s="905">
        <f t="shared" si="232"/>
        <v>0</v>
      </c>
      <c r="J190" s="905">
        <f t="shared" ref="J190:L190" si="233">+J126+J169</f>
        <v>0</v>
      </c>
      <c r="K190" s="905">
        <f t="shared" si="233"/>
        <v>0</v>
      </c>
      <c r="L190" s="905">
        <f t="shared" si="233"/>
        <v>0</v>
      </c>
      <c r="M190" s="905">
        <f t="shared" si="232"/>
        <v>0</v>
      </c>
      <c r="N190" s="905">
        <f t="shared" si="232"/>
        <v>0</v>
      </c>
      <c r="O190" s="905">
        <f t="shared" si="232"/>
        <v>0</v>
      </c>
      <c r="P190" s="905">
        <f t="shared" si="232"/>
        <v>0</v>
      </c>
      <c r="Q190" s="906">
        <f t="shared" si="232"/>
        <v>0</v>
      </c>
    </row>
    <row r="191" spans="1:17" s="889" customFormat="1" ht="15" customHeight="1">
      <c r="A191" s="2773"/>
      <c r="B191" s="2756"/>
      <c r="C191" s="1105" t="s">
        <v>2618</v>
      </c>
      <c r="D191" s="1102">
        <v>1</v>
      </c>
      <c r="E191" s="1104">
        <v>0.02</v>
      </c>
      <c r="F191" s="904">
        <f>SUM(G191:Q191)</f>
        <v>0</v>
      </c>
      <c r="G191" s="905">
        <f t="shared" si="232"/>
        <v>0</v>
      </c>
      <c r="H191" s="905">
        <f t="shared" si="232"/>
        <v>0</v>
      </c>
      <c r="I191" s="905">
        <f t="shared" si="232"/>
        <v>0</v>
      </c>
      <c r="J191" s="905">
        <f t="shared" ref="J191:L191" si="234">+J127+J170</f>
        <v>0</v>
      </c>
      <c r="K191" s="905">
        <f t="shared" si="234"/>
        <v>0</v>
      </c>
      <c r="L191" s="905">
        <f t="shared" si="234"/>
        <v>0</v>
      </c>
      <c r="M191" s="905">
        <f t="shared" si="232"/>
        <v>0</v>
      </c>
      <c r="N191" s="905">
        <f t="shared" si="232"/>
        <v>0</v>
      </c>
      <c r="O191" s="905">
        <f t="shared" si="232"/>
        <v>0</v>
      </c>
      <c r="P191" s="905">
        <f t="shared" si="232"/>
        <v>0</v>
      </c>
      <c r="Q191" s="906">
        <f t="shared" si="232"/>
        <v>0</v>
      </c>
    </row>
    <row r="192" spans="1:17" s="889" customFormat="1" ht="14.25" customHeight="1">
      <c r="A192" s="2773"/>
      <c r="B192" s="2756"/>
      <c r="C192" s="1105" t="s">
        <v>2619</v>
      </c>
      <c r="D192" s="1102">
        <v>1</v>
      </c>
      <c r="E192" s="1104">
        <v>0.02</v>
      </c>
      <c r="F192" s="904">
        <f>SUM(G192:Q192)</f>
        <v>0</v>
      </c>
      <c r="G192" s="905">
        <f t="shared" si="232"/>
        <v>0</v>
      </c>
      <c r="H192" s="905">
        <f t="shared" si="232"/>
        <v>0</v>
      </c>
      <c r="I192" s="905">
        <f t="shared" si="232"/>
        <v>0</v>
      </c>
      <c r="J192" s="905">
        <f t="shared" ref="J192:L192" si="235">+J128+J171</f>
        <v>0</v>
      </c>
      <c r="K192" s="905">
        <f t="shared" si="235"/>
        <v>0</v>
      </c>
      <c r="L192" s="905">
        <f t="shared" si="235"/>
        <v>0</v>
      </c>
      <c r="M192" s="905">
        <f t="shared" si="232"/>
        <v>0</v>
      </c>
      <c r="N192" s="905">
        <f t="shared" si="232"/>
        <v>0</v>
      </c>
      <c r="O192" s="905">
        <f t="shared" si="232"/>
        <v>0</v>
      </c>
      <c r="P192" s="905">
        <f t="shared" si="232"/>
        <v>0</v>
      </c>
      <c r="Q192" s="906">
        <f t="shared" si="232"/>
        <v>0</v>
      </c>
    </row>
    <row r="193" spans="1:17" s="889" customFormat="1" ht="14.25" customHeight="1">
      <c r="A193" s="2773"/>
      <c r="B193" s="2757"/>
      <c r="C193" s="1101" t="s">
        <v>2543</v>
      </c>
      <c r="D193" s="1102">
        <v>1</v>
      </c>
      <c r="E193" s="1104">
        <v>0.02</v>
      </c>
      <c r="F193" s="904">
        <f>SUM(G193:Q193)</f>
        <v>0</v>
      </c>
      <c r="G193" s="905">
        <f t="shared" si="232"/>
        <v>0</v>
      </c>
      <c r="H193" s="905">
        <f t="shared" si="232"/>
        <v>0</v>
      </c>
      <c r="I193" s="905">
        <f t="shared" si="232"/>
        <v>0</v>
      </c>
      <c r="J193" s="905">
        <f t="shared" ref="J193:L193" si="236">+J129+J172</f>
        <v>0</v>
      </c>
      <c r="K193" s="905">
        <f t="shared" si="236"/>
        <v>0</v>
      </c>
      <c r="L193" s="905">
        <f t="shared" si="236"/>
        <v>0</v>
      </c>
      <c r="M193" s="905">
        <f t="shared" si="232"/>
        <v>0</v>
      </c>
      <c r="N193" s="905">
        <f t="shared" si="232"/>
        <v>0</v>
      </c>
      <c r="O193" s="905">
        <f t="shared" si="232"/>
        <v>0</v>
      </c>
      <c r="P193" s="905">
        <f t="shared" si="232"/>
        <v>0</v>
      </c>
      <c r="Q193" s="906">
        <f t="shared" si="232"/>
        <v>0</v>
      </c>
    </row>
    <row r="194" spans="1:17" s="889" customFormat="1" ht="14.25" customHeight="1">
      <c r="A194" s="2774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SUM(G194:Q194)</f>
        <v>388791162</v>
      </c>
      <c r="G194" s="1064">
        <f>SUM(G130:G136)</f>
        <v>33425885</v>
      </c>
      <c r="H194" s="1064">
        <f t="shared" ref="H194:Q194" si="237">SUM(H130:H136)</f>
        <v>22318883</v>
      </c>
      <c r="I194" s="1064">
        <f t="shared" si="237"/>
        <v>2131661</v>
      </c>
      <c r="J194" s="1064">
        <f t="shared" ref="J194" si="238">SUM(J130:J136)</f>
        <v>107929486</v>
      </c>
      <c r="K194" s="1064">
        <f>SUM(K130:K136)</f>
        <v>10208163</v>
      </c>
      <c r="L194" s="1064">
        <f t="shared" ref="L194" si="239">SUM(L130:L136)</f>
        <v>44795961</v>
      </c>
      <c r="M194" s="1064">
        <f t="shared" si="237"/>
        <v>28913934</v>
      </c>
      <c r="N194" s="1064">
        <f>SUM(N130:N136)</f>
        <v>139067189</v>
      </c>
      <c r="O194" s="1064">
        <f t="shared" si="237"/>
        <v>0</v>
      </c>
      <c r="P194" s="1064">
        <f t="shared" si="237"/>
        <v>0</v>
      </c>
      <c r="Q194" s="1065">
        <f t="shared" si="237"/>
        <v>0</v>
      </c>
    </row>
    <row r="195" spans="1:17" s="889" customFormat="1" ht="14.25" customHeight="1">
      <c r="A195" s="1110"/>
      <c r="B195" s="1111"/>
      <c r="C195" s="1112"/>
      <c r="D195" s="2775"/>
      <c r="E195" s="2775"/>
      <c r="F195" s="1099"/>
      <c r="G195" s="1100"/>
      <c r="H195" s="1100"/>
      <c r="I195" s="1100"/>
      <c r="J195" s="1100"/>
      <c r="K195" s="1100"/>
      <c r="L195" s="1100"/>
      <c r="M195" s="1100"/>
      <c r="N195" s="1100"/>
      <c r="O195" s="1100"/>
      <c r="P195" s="1100"/>
      <c r="Q195" s="1113"/>
    </row>
    <row r="196" spans="1:17" s="889" customFormat="1" ht="14.25" customHeight="1">
      <c r="A196" s="2769" t="s">
        <v>2648</v>
      </c>
      <c r="B196" s="2770"/>
      <c r="C196" s="2771"/>
      <c r="D196" s="2776"/>
      <c r="E196" s="2776"/>
      <c r="F196" s="1092"/>
      <c r="G196" s="1093"/>
      <c r="H196" s="1093"/>
      <c r="I196" s="1093"/>
      <c r="J196" s="1093"/>
      <c r="K196" s="1093"/>
      <c r="L196" s="1093"/>
      <c r="M196" s="1093"/>
      <c r="N196" s="1093"/>
      <c r="O196" s="1093"/>
      <c r="P196" s="1093"/>
      <c r="Q196" s="1094"/>
    </row>
    <row r="197" spans="1:17" s="889" customFormat="1" ht="14.25" customHeight="1">
      <c r="A197" s="2772"/>
      <c r="B197" s="275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Q197" si="240">IF(H181=0,0,+H282/100)</f>
        <v>0</v>
      </c>
      <c r="I197" s="1118">
        <f t="shared" si="240"/>
        <v>0</v>
      </c>
      <c r="J197" s="1118">
        <f t="shared" ref="J197" si="241">IF(J181=0,0,+J282/100)</f>
        <v>0</v>
      </c>
      <c r="K197" s="1118">
        <f>IF(K181=0,0,+K282/100)</f>
        <v>0</v>
      </c>
      <c r="L197" s="1118">
        <f t="shared" ref="L197" si="242">IF(L181=0,0,+L282/100)</f>
        <v>0</v>
      </c>
      <c r="M197" s="1118">
        <f t="shared" si="240"/>
        <v>0</v>
      </c>
      <c r="N197" s="1118">
        <f>IF(N181=0,0,+N282/100)</f>
        <v>0</v>
      </c>
      <c r="O197" s="1118">
        <f t="shared" si="240"/>
        <v>0</v>
      </c>
      <c r="P197" s="1118">
        <f t="shared" si="240"/>
        <v>0</v>
      </c>
      <c r="Q197" s="1119">
        <f t="shared" si="240"/>
        <v>0</v>
      </c>
    </row>
    <row r="198" spans="1:17" s="889" customFormat="1" ht="14.25" customHeight="1">
      <c r="A198" s="2773"/>
      <c r="B198" s="2756"/>
      <c r="C198" s="1120"/>
      <c r="D198" s="1121">
        <f>+D181</f>
        <v>1</v>
      </c>
      <c r="E198" s="1122" t="s">
        <v>2627</v>
      </c>
      <c r="F198" s="1055">
        <f>SUM(G198:Q198)</f>
        <v>0</v>
      </c>
      <c r="G198" s="1071">
        <f>ROUNDDOWN(G181*G197*$D198,0)</f>
        <v>0</v>
      </c>
      <c r="H198" s="1071">
        <f t="shared" ref="H198:Q198" si="243">ROUNDDOWN(H181*H197*$D198,0)</f>
        <v>0</v>
      </c>
      <c r="I198" s="1071">
        <f t="shared" si="243"/>
        <v>0</v>
      </c>
      <c r="J198" s="1071">
        <f t="shared" ref="J198" si="244">ROUNDDOWN(J181*J197*$D198,0)</f>
        <v>0</v>
      </c>
      <c r="K198" s="1071">
        <f>ROUNDDOWN(K181*K197*$D198,0)</f>
        <v>0</v>
      </c>
      <c r="L198" s="1071">
        <f t="shared" ref="L198" si="245">ROUNDDOWN(L181*L197*$D198,0)</f>
        <v>0</v>
      </c>
      <c r="M198" s="1071">
        <f t="shared" si="243"/>
        <v>0</v>
      </c>
      <c r="N198" s="1071">
        <f>ROUNDDOWN(N181*N197*$D198,0)</f>
        <v>0</v>
      </c>
      <c r="O198" s="1071">
        <f t="shared" si="243"/>
        <v>0</v>
      </c>
      <c r="P198" s="1071">
        <f t="shared" si="243"/>
        <v>0</v>
      </c>
      <c r="Q198" s="1072">
        <f t="shared" si="243"/>
        <v>0</v>
      </c>
    </row>
    <row r="199" spans="1:17" s="889" customFormat="1" ht="14.25" customHeight="1">
      <c r="A199" s="2773"/>
      <c r="B199" s="2756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</v>
      </c>
      <c r="H199" s="1126">
        <f t="shared" ref="H199:Q199" si="246">IF(H182=0,0,+H290/100)</f>
        <v>0</v>
      </c>
      <c r="I199" s="1126">
        <f t="shared" si="246"/>
        <v>0</v>
      </c>
      <c r="J199" s="1126">
        <f t="shared" ref="J199" si="247">IF(J182=0,0,+J290/100)</f>
        <v>0</v>
      </c>
      <c r="K199" s="1126">
        <f>IF(K182=0,0,+K290/100)</f>
        <v>0</v>
      </c>
      <c r="L199" s="1126">
        <f t="shared" ref="L199" si="248">IF(L182=0,0,+L290/100)</f>
        <v>0</v>
      </c>
      <c r="M199" s="1126">
        <f t="shared" si="246"/>
        <v>0</v>
      </c>
      <c r="N199" s="1126">
        <f>IF(N182=0,0,+N290/100)</f>
        <v>0</v>
      </c>
      <c r="O199" s="1126">
        <f t="shared" si="246"/>
        <v>0</v>
      </c>
      <c r="P199" s="1126">
        <f t="shared" si="246"/>
        <v>0</v>
      </c>
      <c r="Q199" s="1127">
        <f t="shared" si="246"/>
        <v>0</v>
      </c>
    </row>
    <row r="200" spans="1:17" s="889" customFormat="1" ht="14.25" customHeight="1">
      <c r="A200" s="2773"/>
      <c r="B200" s="2756"/>
      <c r="C200" s="1120"/>
      <c r="D200" s="1128">
        <f t="shared" ref="D200:D205" si="249">+D182</f>
        <v>1</v>
      </c>
      <c r="E200" s="1122" t="s">
        <v>2627</v>
      </c>
      <c r="F200" s="1055">
        <f t="shared" ref="F200:F205" si="250">SUM(G200:Q200)</f>
        <v>0</v>
      </c>
      <c r="G200" s="1071">
        <f>ROUNDDOWN(G182*G199*$D200,0)</f>
        <v>0</v>
      </c>
      <c r="H200" s="1071">
        <f t="shared" ref="H200:Q200" si="251">ROUNDDOWN(H182*H199*$D200,0)</f>
        <v>0</v>
      </c>
      <c r="I200" s="1071">
        <f t="shared" si="251"/>
        <v>0</v>
      </c>
      <c r="J200" s="1071">
        <f t="shared" ref="J200" si="252">ROUNDDOWN(J182*J199*$D200,0)</f>
        <v>0</v>
      </c>
      <c r="K200" s="1071">
        <f>ROUNDDOWN(K182*K199*$D200,0)</f>
        <v>0</v>
      </c>
      <c r="L200" s="1071">
        <f t="shared" ref="L200" si="253">ROUNDDOWN(L182*L199*$D200,0)</f>
        <v>0</v>
      </c>
      <c r="M200" s="1071">
        <f t="shared" si="251"/>
        <v>0</v>
      </c>
      <c r="N200" s="1071">
        <f>ROUNDDOWN(N182*N199*$D200,0)</f>
        <v>0</v>
      </c>
      <c r="O200" s="1071">
        <f t="shared" si="251"/>
        <v>0</v>
      </c>
      <c r="P200" s="1071">
        <f t="shared" si="251"/>
        <v>0</v>
      </c>
      <c r="Q200" s="1072">
        <f t="shared" si="251"/>
        <v>0</v>
      </c>
    </row>
    <row r="201" spans="1:17" s="889" customFormat="1" ht="14.25" customHeight="1">
      <c r="A201" s="2773"/>
      <c r="B201" s="2756"/>
      <c r="C201" s="1101" t="s">
        <v>2553</v>
      </c>
      <c r="D201" s="1129">
        <f t="shared" si="249"/>
        <v>1</v>
      </c>
      <c r="E201" s="1122" t="s">
        <v>2627</v>
      </c>
      <c r="F201" s="1055">
        <f t="shared" si="250"/>
        <v>0</v>
      </c>
      <c r="G201" s="1071">
        <f t="shared" ref="G201:Q201" si="254">ROUNDDOWN(G183*G197*$D201,0)</f>
        <v>0</v>
      </c>
      <c r="H201" s="1071">
        <f t="shared" si="254"/>
        <v>0</v>
      </c>
      <c r="I201" s="1071">
        <f t="shared" si="254"/>
        <v>0</v>
      </c>
      <c r="J201" s="1071">
        <f t="shared" ref="J201" si="255">ROUNDDOWN(J183*J197*$D201,0)</f>
        <v>0</v>
      </c>
      <c r="K201" s="1071">
        <f>ROUNDDOWN(K183*K197*$D201,0)</f>
        <v>0</v>
      </c>
      <c r="L201" s="1071">
        <f t="shared" ref="L201" si="256">ROUNDDOWN(L183*L197*$D201,0)</f>
        <v>0</v>
      </c>
      <c r="M201" s="1071">
        <f t="shared" si="254"/>
        <v>0</v>
      </c>
      <c r="N201" s="1071">
        <f>ROUNDDOWN(N183*N197*$D201,0)</f>
        <v>0</v>
      </c>
      <c r="O201" s="1071">
        <f t="shared" si="254"/>
        <v>0</v>
      </c>
      <c r="P201" s="1071">
        <f t="shared" si="254"/>
        <v>0</v>
      </c>
      <c r="Q201" s="1072">
        <f t="shared" si="254"/>
        <v>0</v>
      </c>
    </row>
    <row r="202" spans="1:17" s="889" customFormat="1" ht="14.25" customHeight="1">
      <c r="A202" s="2773"/>
      <c r="B202" s="2757"/>
      <c r="C202" s="1101" t="s">
        <v>2554</v>
      </c>
      <c r="D202" s="1129">
        <f t="shared" si="249"/>
        <v>1</v>
      </c>
      <c r="E202" s="1122" t="s">
        <v>2627</v>
      </c>
      <c r="F202" s="1055">
        <f t="shared" si="250"/>
        <v>0</v>
      </c>
      <c r="G202" s="1071">
        <f>ROUNDDOWN(G184*G199*$D202,0)</f>
        <v>0</v>
      </c>
      <c r="H202" s="1071">
        <f t="shared" ref="H202:Q202" si="257">ROUNDDOWN(H184*H199*$D202,0)</f>
        <v>0</v>
      </c>
      <c r="I202" s="1071">
        <f t="shared" si="257"/>
        <v>0</v>
      </c>
      <c r="J202" s="1071">
        <f t="shared" ref="J202" si="258">ROUNDDOWN(J184*J199*$D202,0)</f>
        <v>0</v>
      </c>
      <c r="K202" s="1071">
        <f>ROUNDDOWN(K184*K199*$D202,0)</f>
        <v>0</v>
      </c>
      <c r="L202" s="1071">
        <f t="shared" ref="L202" si="259">ROUNDDOWN(L184*L199*$D202,0)</f>
        <v>0</v>
      </c>
      <c r="M202" s="1071">
        <f t="shared" si="257"/>
        <v>0</v>
      </c>
      <c r="N202" s="1071">
        <f>ROUNDDOWN(N184*N199*$D202,0)</f>
        <v>0</v>
      </c>
      <c r="O202" s="1071">
        <f t="shared" si="257"/>
        <v>0</v>
      </c>
      <c r="P202" s="1071">
        <f t="shared" si="257"/>
        <v>0</v>
      </c>
      <c r="Q202" s="1072">
        <f t="shared" si="257"/>
        <v>0</v>
      </c>
    </row>
    <row r="203" spans="1:17" s="889" customFormat="1" ht="14.25" customHeight="1">
      <c r="A203" s="2773"/>
      <c r="B203" s="2758" t="s">
        <v>2534</v>
      </c>
      <c r="C203" s="1101" t="s">
        <v>2630</v>
      </c>
      <c r="D203" s="1129">
        <f t="shared" si="249"/>
        <v>1</v>
      </c>
      <c r="E203" s="1104">
        <f>+E185</f>
        <v>0.02</v>
      </c>
      <c r="F203" s="1055">
        <f t="shared" si="250"/>
        <v>0</v>
      </c>
      <c r="G203" s="1071">
        <f t="shared" ref="G203:Q205" si="260">ROUNDDOWN(G185*$E203*$D203,0)</f>
        <v>0</v>
      </c>
      <c r="H203" s="1071">
        <f t="shared" si="260"/>
        <v>0</v>
      </c>
      <c r="I203" s="1071">
        <f t="shared" si="260"/>
        <v>0</v>
      </c>
      <c r="J203" s="1071">
        <f t="shared" ref="J203:L203" si="261">ROUNDDOWN(J185*$E203*$D203,0)</f>
        <v>0</v>
      </c>
      <c r="K203" s="1071">
        <f t="shared" si="261"/>
        <v>0</v>
      </c>
      <c r="L203" s="1071">
        <f t="shared" si="261"/>
        <v>0</v>
      </c>
      <c r="M203" s="1071">
        <f t="shared" si="260"/>
        <v>0</v>
      </c>
      <c r="N203" s="1071">
        <f t="shared" si="260"/>
        <v>0</v>
      </c>
      <c r="O203" s="1071">
        <f t="shared" si="260"/>
        <v>0</v>
      </c>
      <c r="P203" s="1071">
        <f t="shared" si="260"/>
        <v>0</v>
      </c>
      <c r="Q203" s="1072">
        <f t="shared" si="260"/>
        <v>0</v>
      </c>
    </row>
    <row r="204" spans="1:17" s="889" customFormat="1" ht="14.25" customHeight="1">
      <c r="A204" s="2773"/>
      <c r="B204" s="2756"/>
      <c r="C204" s="1101" t="s">
        <v>2636</v>
      </c>
      <c r="D204" s="1129">
        <f t="shared" si="249"/>
        <v>1</v>
      </c>
      <c r="E204" s="1104">
        <f>+E186</f>
        <v>0.02</v>
      </c>
      <c r="F204" s="1055">
        <f t="shared" si="250"/>
        <v>0</v>
      </c>
      <c r="G204" s="1071">
        <f t="shared" si="260"/>
        <v>0</v>
      </c>
      <c r="H204" s="1071">
        <f t="shared" si="260"/>
        <v>0</v>
      </c>
      <c r="I204" s="1071">
        <f t="shared" si="260"/>
        <v>0</v>
      </c>
      <c r="J204" s="1071">
        <f t="shared" ref="J204" si="262">ROUNDDOWN(J186*$E204*$D204,0)</f>
        <v>0</v>
      </c>
      <c r="K204" s="1071">
        <f>ROUNDDOWN(K186*$E204*$D204,0)</f>
        <v>0</v>
      </c>
      <c r="L204" s="1071">
        <f t="shared" ref="L204" si="263">ROUNDDOWN(L186*$E204*$D204,0)</f>
        <v>0</v>
      </c>
      <c r="M204" s="1071">
        <f t="shared" si="260"/>
        <v>0</v>
      </c>
      <c r="N204" s="1071">
        <f>ROUNDDOWN(N186*$E204*$D204,0)</f>
        <v>0</v>
      </c>
      <c r="O204" s="1071">
        <f t="shared" si="260"/>
        <v>0</v>
      </c>
      <c r="P204" s="1071">
        <f t="shared" si="260"/>
        <v>0</v>
      </c>
      <c r="Q204" s="1072">
        <f t="shared" si="260"/>
        <v>0</v>
      </c>
    </row>
    <row r="205" spans="1:17" s="889" customFormat="1" ht="14.25" customHeight="1">
      <c r="A205" s="2773"/>
      <c r="B205" s="2756"/>
      <c r="C205" s="1101" t="s">
        <v>2537</v>
      </c>
      <c r="D205" s="1129">
        <f t="shared" si="249"/>
        <v>1</v>
      </c>
      <c r="E205" s="1104">
        <f>+E187</f>
        <v>0.02</v>
      </c>
      <c r="F205" s="1055">
        <f t="shared" si="250"/>
        <v>0</v>
      </c>
      <c r="G205" s="1071">
        <f>ROUNDDOWN(G187*$E205*$D205,0)</f>
        <v>0</v>
      </c>
      <c r="H205" s="1071">
        <f t="shared" si="260"/>
        <v>0</v>
      </c>
      <c r="I205" s="1071">
        <f t="shared" si="260"/>
        <v>0</v>
      </c>
      <c r="J205" s="1071">
        <f t="shared" ref="J205" si="264">ROUNDDOWN(J187*$E205*$D205,0)</f>
        <v>0</v>
      </c>
      <c r="K205" s="1071">
        <f>ROUNDDOWN(K187*$E205*$D205,0)</f>
        <v>0</v>
      </c>
      <c r="L205" s="1071">
        <f t="shared" ref="L205" si="265">ROUNDDOWN(L187*$E205*$D205,0)</f>
        <v>0</v>
      </c>
      <c r="M205" s="1071">
        <f t="shared" si="260"/>
        <v>0</v>
      </c>
      <c r="N205" s="1071">
        <f>ROUNDDOWN(N187*$E205*$D205,0)</f>
        <v>0</v>
      </c>
      <c r="O205" s="1071">
        <f t="shared" si="260"/>
        <v>0</v>
      </c>
      <c r="P205" s="1071">
        <f t="shared" si="260"/>
        <v>0</v>
      </c>
      <c r="Q205" s="1072">
        <f t="shared" si="260"/>
        <v>0</v>
      </c>
    </row>
    <row r="206" spans="1:17" s="889" customFormat="1" ht="14.25" customHeight="1">
      <c r="A206" s="2773"/>
      <c r="B206" s="2756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1"/>
      <c r="O206" s="1071"/>
      <c r="P206" s="1071"/>
      <c r="Q206" s="1072"/>
    </row>
    <row r="207" spans="1:17" s="889" customFormat="1" ht="14.25" customHeight="1">
      <c r="A207" s="2773"/>
      <c r="B207" s="2756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1"/>
      <c r="O207" s="1071"/>
      <c r="P207" s="1071"/>
      <c r="Q207" s="1072"/>
    </row>
    <row r="208" spans="1:17" s="889" customFormat="1" ht="14.25" customHeight="1">
      <c r="A208" s="2773"/>
      <c r="B208" s="2756"/>
      <c r="C208" s="1101" t="s">
        <v>2540</v>
      </c>
      <c r="D208" s="1129">
        <f t="shared" ref="D208:E211" si="266">+D190</f>
        <v>1</v>
      </c>
      <c r="E208" s="1104">
        <f t="shared" si="266"/>
        <v>0.02</v>
      </c>
      <c r="F208" s="1055">
        <f t="shared" ref="F208:F216" si="267">SUM(G208:Q208)</f>
        <v>0</v>
      </c>
      <c r="G208" s="1071">
        <f t="shared" ref="G208:Q211" si="268">ROUNDDOWN(G190*$E208*$D208,0)</f>
        <v>0</v>
      </c>
      <c r="H208" s="1071">
        <f t="shared" si="268"/>
        <v>0</v>
      </c>
      <c r="I208" s="1071">
        <f t="shared" si="268"/>
        <v>0</v>
      </c>
      <c r="J208" s="1071">
        <f t="shared" ref="J208" si="269">ROUNDDOWN(J190*$E208*$D208,0)</f>
        <v>0</v>
      </c>
      <c r="K208" s="1071">
        <f>ROUNDDOWN(K190*$E208*$D208,0)</f>
        <v>0</v>
      </c>
      <c r="L208" s="1071">
        <f t="shared" ref="L208" si="270">ROUNDDOWN(L190*$E208*$D208,0)</f>
        <v>0</v>
      </c>
      <c r="M208" s="1071">
        <f t="shared" si="268"/>
        <v>0</v>
      </c>
      <c r="N208" s="1071">
        <f>ROUNDDOWN(N190*$E208*$D208,0)</f>
        <v>0</v>
      </c>
      <c r="O208" s="1071">
        <f t="shared" si="268"/>
        <v>0</v>
      </c>
      <c r="P208" s="1071">
        <f t="shared" si="268"/>
        <v>0</v>
      </c>
      <c r="Q208" s="1072">
        <f t="shared" si="268"/>
        <v>0</v>
      </c>
    </row>
    <row r="209" spans="1:17" s="889" customFormat="1" ht="14.25" customHeight="1">
      <c r="A209" s="2773"/>
      <c r="B209" s="2756"/>
      <c r="C209" s="1105" t="s">
        <v>2618</v>
      </c>
      <c r="D209" s="1129">
        <f t="shared" si="266"/>
        <v>1</v>
      </c>
      <c r="E209" s="1104">
        <f t="shared" si="266"/>
        <v>0.02</v>
      </c>
      <c r="F209" s="1055">
        <f t="shared" si="267"/>
        <v>0</v>
      </c>
      <c r="G209" s="1071">
        <f t="shared" si="268"/>
        <v>0</v>
      </c>
      <c r="H209" s="1071">
        <f t="shared" si="268"/>
        <v>0</v>
      </c>
      <c r="I209" s="1071">
        <f t="shared" si="268"/>
        <v>0</v>
      </c>
      <c r="J209" s="1071">
        <f t="shared" ref="J209" si="271">ROUNDDOWN(J191*$E209*$D209,0)</f>
        <v>0</v>
      </c>
      <c r="K209" s="1071">
        <f>ROUNDDOWN(K191*$E209*$D209,0)</f>
        <v>0</v>
      </c>
      <c r="L209" s="1071">
        <f t="shared" ref="L209" si="272">ROUNDDOWN(L191*$E209*$D209,0)</f>
        <v>0</v>
      </c>
      <c r="M209" s="1071">
        <f t="shared" si="268"/>
        <v>0</v>
      </c>
      <c r="N209" s="1071">
        <f>ROUNDDOWN(N191*$E209*$D209,0)</f>
        <v>0</v>
      </c>
      <c r="O209" s="1071">
        <f t="shared" si="268"/>
        <v>0</v>
      </c>
      <c r="P209" s="1071">
        <f t="shared" si="268"/>
        <v>0</v>
      </c>
      <c r="Q209" s="1072">
        <f t="shared" si="268"/>
        <v>0</v>
      </c>
    </row>
    <row r="210" spans="1:17" s="889" customFormat="1" ht="14.25" customHeight="1">
      <c r="A210" s="2773"/>
      <c r="B210" s="2756"/>
      <c r="C210" s="1105" t="s">
        <v>2619</v>
      </c>
      <c r="D210" s="1129">
        <f t="shared" si="266"/>
        <v>1</v>
      </c>
      <c r="E210" s="1104">
        <f t="shared" si="266"/>
        <v>0.02</v>
      </c>
      <c r="F210" s="1055">
        <f t="shared" si="267"/>
        <v>0</v>
      </c>
      <c r="G210" s="1071">
        <f t="shared" si="268"/>
        <v>0</v>
      </c>
      <c r="H210" s="1071">
        <f t="shared" si="268"/>
        <v>0</v>
      </c>
      <c r="I210" s="1071">
        <f t="shared" si="268"/>
        <v>0</v>
      </c>
      <c r="J210" s="1071">
        <f t="shared" ref="J210" si="273">ROUNDDOWN(J192*$E210*$D210,0)</f>
        <v>0</v>
      </c>
      <c r="K210" s="1071">
        <f>ROUNDDOWN(K192*$E210*$D210,0)</f>
        <v>0</v>
      </c>
      <c r="L210" s="1071">
        <f t="shared" ref="L210" si="274">ROUNDDOWN(L192*$E210*$D210,0)</f>
        <v>0</v>
      </c>
      <c r="M210" s="1071">
        <f t="shared" si="268"/>
        <v>0</v>
      </c>
      <c r="N210" s="1071">
        <f>ROUNDDOWN(N192*$E210*$D210,0)</f>
        <v>0</v>
      </c>
      <c r="O210" s="1071">
        <f t="shared" si="268"/>
        <v>0</v>
      </c>
      <c r="P210" s="1071">
        <f t="shared" si="268"/>
        <v>0</v>
      </c>
      <c r="Q210" s="1072">
        <f t="shared" si="268"/>
        <v>0</v>
      </c>
    </row>
    <row r="211" spans="1:17" s="889" customFormat="1" ht="14.25" customHeight="1">
      <c r="A211" s="2773"/>
      <c r="B211" s="2757"/>
      <c r="C211" s="1101" t="s">
        <v>2649</v>
      </c>
      <c r="D211" s="1129">
        <f t="shared" si="266"/>
        <v>1</v>
      </c>
      <c r="E211" s="1104">
        <f t="shared" si="266"/>
        <v>0.02</v>
      </c>
      <c r="F211" s="1055">
        <f t="shared" si="267"/>
        <v>0</v>
      </c>
      <c r="G211" s="1071">
        <f>ROUNDDOWN(G193*$E211*$D211,0)</f>
        <v>0</v>
      </c>
      <c r="H211" s="1071">
        <f t="shared" si="268"/>
        <v>0</v>
      </c>
      <c r="I211" s="1071">
        <f t="shared" si="268"/>
        <v>0</v>
      </c>
      <c r="J211" s="1071">
        <f t="shared" ref="J211" si="275">ROUNDDOWN(J193*$E211*$D211,0)</f>
        <v>0</v>
      </c>
      <c r="K211" s="1071">
        <f>ROUNDDOWN(K193*$E211*$D211,0)</f>
        <v>0</v>
      </c>
      <c r="L211" s="1071">
        <f t="shared" ref="L211" si="276">ROUNDDOWN(L193*$E211*$D211,0)</f>
        <v>0</v>
      </c>
      <c r="M211" s="1071">
        <f t="shared" si="268"/>
        <v>0</v>
      </c>
      <c r="N211" s="1071">
        <f>ROUNDDOWN(N193*$E211*$D211,0)</f>
        <v>0</v>
      </c>
      <c r="O211" s="1071">
        <f t="shared" si="268"/>
        <v>0</v>
      </c>
      <c r="P211" s="1071">
        <f t="shared" si="268"/>
        <v>0</v>
      </c>
      <c r="Q211" s="1072">
        <f t="shared" si="268"/>
        <v>0</v>
      </c>
    </row>
    <row r="212" spans="1:17" s="889" customFormat="1" ht="14.25" customHeight="1">
      <c r="A212" s="2773"/>
      <c r="B212" s="2794" t="s">
        <v>2650</v>
      </c>
      <c r="C212" s="1101" t="s">
        <v>2562</v>
      </c>
      <c r="D212" s="1147"/>
      <c r="E212" s="1148"/>
      <c r="F212" s="1055">
        <f t="shared" si="267"/>
        <v>43436477</v>
      </c>
      <c r="G212" s="1149">
        <v>3667017</v>
      </c>
      <c r="H212" s="1149">
        <v>2282113</v>
      </c>
      <c r="I212" s="1149">
        <v>221648</v>
      </c>
      <c r="J212" s="1149">
        <v>12806355</v>
      </c>
      <c r="K212" s="1149">
        <v>1185589</v>
      </c>
      <c r="L212" s="1149">
        <v>4792956</v>
      </c>
      <c r="M212" s="1149">
        <v>2736856</v>
      </c>
      <c r="N212" s="1149">
        <v>15743943</v>
      </c>
      <c r="O212" s="1149"/>
      <c r="P212" s="1149"/>
      <c r="Q212" s="1150"/>
    </row>
    <row r="213" spans="1:17" s="889" customFormat="1" ht="14.25" customHeight="1">
      <c r="A213" s="2773"/>
      <c r="B213" s="2795"/>
      <c r="C213" s="1151" t="s">
        <v>2651</v>
      </c>
      <c r="D213" s="1147"/>
      <c r="E213" s="1148"/>
      <c r="F213" s="1055">
        <f t="shared" si="267"/>
        <v>0</v>
      </c>
      <c r="G213" s="905"/>
      <c r="H213" s="905"/>
      <c r="I213" s="905"/>
      <c r="J213" s="905"/>
      <c r="K213" s="905"/>
      <c r="L213" s="905"/>
      <c r="M213" s="905"/>
      <c r="N213" s="905"/>
      <c r="O213" s="905"/>
      <c r="P213" s="905"/>
      <c r="Q213" s="906"/>
    </row>
    <row r="214" spans="1:17" s="889" customFormat="1" ht="13.5" customHeight="1" thickBot="1">
      <c r="A214" s="2777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267"/>
        <v>0</v>
      </c>
      <c r="G214" s="1071">
        <f>ROUNDDOWN(G194*$E214*$D214,0)</f>
        <v>0</v>
      </c>
      <c r="H214" s="1071">
        <f t="shared" ref="H214:Q214" si="277">ROUNDDOWN(H194*$E214*$D214,0)</f>
        <v>0</v>
      </c>
      <c r="I214" s="1071">
        <f t="shared" si="277"/>
        <v>0</v>
      </c>
      <c r="J214" s="1071">
        <f t="shared" ref="J214" si="278">ROUNDDOWN(J194*$E214*$D214,0)</f>
        <v>0</v>
      </c>
      <c r="K214" s="1071">
        <f>ROUNDDOWN(K194*$E214*$D214,0)</f>
        <v>0</v>
      </c>
      <c r="L214" s="1071">
        <f t="shared" ref="L214" si="279">ROUNDDOWN(L194*$E214*$D214,0)</f>
        <v>0</v>
      </c>
      <c r="M214" s="1071">
        <f t="shared" si="277"/>
        <v>0</v>
      </c>
      <c r="N214" s="1071">
        <f>ROUNDDOWN(N194*$E214*$D214,0)</f>
        <v>0</v>
      </c>
      <c r="O214" s="1071">
        <f t="shared" si="277"/>
        <v>0</v>
      </c>
      <c r="P214" s="1071">
        <f t="shared" si="277"/>
        <v>0</v>
      </c>
      <c r="Q214" s="1153">
        <f t="shared" si="277"/>
        <v>0</v>
      </c>
    </row>
    <row r="215" spans="1:17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267"/>
        <v>43436477</v>
      </c>
      <c r="G215" s="1160">
        <f t="shared" ref="G215:Q215" si="280">SUM(G200:G214)+G198</f>
        <v>3667017</v>
      </c>
      <c r="H215" s="1160">
        <f>SUM(H200:H214)+H198</f>
        <v>2282113</v>
      </c>
      <c r="I215" s="1160">
        <f>SUM(I200:I214)+I198</f>
        <v>221648</v>
      </c>
      <c r="J215" s="1160">
        <f t="shared" ref="J215" si="281">SUM(J200:J214)+J198</f>
        <v>12806355</v>
      </c>
      <c r="K215" s="1160">
        <f>SUM(K200:K214)+K198</f>
        <v>1185589</v>
      </c>
      <c r="L215" s="1160">
        <f t="shared" ref="L215" si="282">SUM(L200:L214)+L198</f>
        <v>4792956</v>
      </c>
      <c r="M215" s="1160">
        <f t="shared" si="280"/>
        <v>2736856</v>
      </c>
      <c r="N215" s="1160">
        <f>SUM(N200:N214)+N198</f>
        <v>15743943</v>
      </c>
      <c r="O215" s="1160">
        <f t="shared" si="280"/>
        <v>0</v>
      </c>
      <c r="P215" s="1160">
        <f t="shared" si="280"/>
        <v>0</v>
      </c>
      <c r="Q215" s="1161">
        <f t="shared" si="280"/>
        <v>0</v>
      </c>
    </row>
    <row r="216" spans="1:17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267"/>
        <v>432227639</v>
      </c>
      <c r="G216" s="1064">
        <f t="shared" ref="G216:Q216" si="283">+G91+G215</f>
        <v>37092902</v>
      </c>
      <c r="H216" s="1064">
        <f>+H91+H215</f>
        <v>24600996</v>
      </c>
      <c r="I216" s="1064">
        <f t="shared" si="283"/>
        <v>2353309</v>
      </c>
      <c r="J216" s="1064">
        <f t="shared" ref="J216" si="284">+J91+J215</f>
        <v>120735841</v>
      </c>
      <c r="K216" s="1064">
        <f>+K91+K215</f>
        <v>11393752</v>
      </c>
      <c r="L216" s="1064">
        <f t="shared" ref="L216" si="285">+L91+L215</f>
        <v>49588917</v>
      </c>
      <c r="M216" s="1064">
        <f t="shared" si="283"/>
        <v>31650790</v>
      </c>
      <c r="N216" s="1064">
        <f>+N91+N215</f>
        <v>154811132</v>
      </c>
      <c r="O216" s="1064">
        <f t="shared" si="283"/>
        <v>0</v>
      </c>
      <c r="P216" s="1064">
        <f t="shared" si="283"/>
        <v>0</v>
      </c>
      <c r="Q216" s="1065">
        <f t="shared" si="283"/>
        <v>0</v>
      </c>
    </row>
    <row r="217" spans="1:17" s="889" customFormat="1" ht="13.5" customHeight="1">
      <c r="A217" s="880"/>
      <c r="B217" s="880"/>
      <c r="C217" s="917"/>
      <c r="D217" s="917"/>
      <c r="E217" s="880"/>
      <c r="F217" s="1144"/>
      <c r="G217" s="908"/>
      <c r="H217" s="908"/>
      <c r="I217" s="908"/>
      <c r="J217" s="908"/>
      <c r="K217" s="908"/>
      <c r="L217" s="908"/>
      <c r="M217" s="908"/>
      <c r="N217" s="908"/>
      <c r="O217" s="908"/>
      <c r="P217" s="908"/>
      <c r="Q217" s="908"/>
    </row>
    <row r="218" spans="1:17" s="889" customFormat="1" ht="13.5" customHeight="1">
      <c r="A218" s="880"/>
      <c r="B218" s="880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37"/>
      <c r="O218" s="1037"/>
      <c r="P218" s="1037"/>
      <c r="Q218" s="1091" t="s">
        <v>2655</v>
      </c>
    </row>
    <row r="219" spans="1:17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  <c r="O219" s="1165"/>
      <c r="P219" s="1165"/>
      <c r="Q219" s="1165"/>
    </row>
    <row r="220" spans="1:17" s="889" customFormat="1" ht="13.5" customHeight="1">
      <c r="A220" s="2778"/>
      <c r="B220" s="2779"/>
      <c r="C220" s="2780"/>
      <c r="D220" s="1166"/>
      <c r="E220" s="1082" t="s">
        <v>2656</v>
      </c>
      <c r="F220" s="1083" t="s">
        <v>2505</v>
      </c>
      <c r="G220" s="1084" t="str">
        <f t="shared" ref="G220:Q220" si="286">+G86</f>
        <v>工事1</v>
      </c>
      <c r="H220" s="1084" t="str">
        <f t="shared" si="286"/>
        <v>工事2</v>
      </c>
      <c r="I220" s="1084" t="str">
        <f t="shared" si="286"/>
        <v>工事3</v>
      </c>
      <c r="J220" s="1084" t="str">
        <f t="shared" ref="J220:L220" si="287">+J86</f>
        <v>工事4</v>
      </c>
      <c r="K220" s="1084" t="str">
        <f t="shared" si="287"/>
        <v>工事5</v>
      </c>
      <c r="L220" s="1084" t="str">
        <f t="shared" si="287"/>
        <v>工事6</v>
      </c>
      <c r="M220" s="1084" t="str">
        <f t="shared" si="286"/>
        <v>工事7</v>
      </c>
      <c r="N220" s="1084" t="str">
        <f t="shared" si="286"/>
        <v>工事8</v>
      </c>
      <c r="O220" s="1084">
        <f t="shared" si="286"/>
        <v>0</v>
      </c>
      <c r="P220" s="1084">
        <f t="shared" si="286"/>
        <v>0</v>
      </c>
      <c r="Q220" s="1085">
        <f t="shared" si="286"/>
        <v>0</v>
      </c>
    </row>
    <row r="221" spans="1:17" s="889" customFormat="1" ht="13.5" customHeight="1" thickBot="1">
      <c r="A221" s="2781"/>
      <c r="B221" s="2782"/>
      <c r="C221" s="2783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69"/>
      <c r="O221" s="1169"/>
      <c r="P221" s="1169"/>
      <c r="Q221" s="1170"/>
    </row>
    <row r="222" spans="1:17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SUM(G222:Q222)</f>
        <v>432227639</v>
      </c>
      <c r="G222" s="1177">
        <f t="shared" ref="G222:Q222" si="288">IF(G223="",+G216,0)</f>
        <v>37092902</v>
      </c>
      <c r="H222" s="1177">
        <f t="shared" si="288"/>
        <v>24600996</v>
      </c>
      <c r="I222" s="1177">
        <f t="shared" si="288"/>
        <v>2353309</v>
      </c>
      <c r="J222" s="1177">
        <f t="shared" ref="J222:L222" si="289">IF(J223="",+J216,0)</f>
        <v>120735841</v>
      </c>
      <c r="K222" s="1177">
        <f t="shared" si="289"/>
        <v>11393752</v>
      </c>
      <c r="L222" s="1177">
        <f t="shared" si="289"/>
        <v>49588917</v>
      </c>
      <c r="M222" s="1177">
        <f t="shared" si="288"/>
        <v>31650790</v>
      </c>
      <c r="N222" s="1177">
        <f t="shared" si="288"/>
        <v>154811132</v>
      </c>
      <c r="O222" s="1177">
        <f t="shared" si="288"/>
        <v>0</v>
      </c>
      <c r="P222" s="1177">
        <f t="shared" si="288"/>
        <v>0</v>
      </c>
      <c r="Q222" s="1178">
        <f t="shared" si="288"/>
        <v>0</v>
      </c>
    </row>
    <row r="223" spans="1:17" s="889" customFormat="1" ht="13.5" customHeight="1">
      <c r="A223" s="879"/>
      <c r="B223" s="880"/>
      <c r="C223" s="1179" t="s">
        <v>2658</v>
      </c>
      <c r="D223" s="1180"/>
      <c r="E223" s="1181"/>
      <c r="F223" s="919">
        <f>SUM(G223:Q223)</f>
        <v>0</v>
      </c>
      <c r="G223" s="919" t="str">
        <f>IF(G245="","",G216)</f>
        <v/>
      </c>
      <c r="H223" s="919" t="str">
        <f t="shared" ref="H223:Q223" si="290">IF(H245="","",H216)</f>
        <v/>
      </c>
      <c r="I223" s="919" t="str">
        <f>IF(I245="","",I216)</f>
        <v/>
      </c>
      <c r="J223" s="919" t="str">
        <f t="shared" ref="J223:L223" si="291">IF(J245="","",J216)</f>
        <v/>
      </c>
      <c r="K223" s="919" t="str">
        <f t="shared" si="291"/>
        <v/>
      </c>
      <c r="L223" s="919" t="str">
        <f t="shared" si="291"/>
        <v/>
      </c>
      <c r="M223" s="919" t="str">
        <f t="shared" si="290"/>
        <v/>
      </c>
      <c r="N223" s="919" t="str">
        <f t="shared" si="290"/>
        <v/>
      </c>
      <c r="O223" s="919" t="str">
        <f t="shared" si="290"/>
        <v/>
      </c>
      <c r="P223" s="919" t="str">
        <f t="shared" si="290"/>
        <v/>
      </c>
      <c r="Q223" s="1182" t="str">
        <f t="shared" si="290"/>
        <v/>
      </c>
    </row>
    <row r="224" spans="1:17" s="889" customFormat="1" ht="13.5" customHeight="1">
      <c r="A224" s="1162"/>
      <c r="B224" s="1163"/>
      <c r="C224" s="2784" t="s">
        <v>2659</v>
      </c>
      <c r="D224" s="2784"/>
      <c r="E224" s="2785"/>
      <c r="F224" s="939">
        <f>F222+F223-F232</f>
        <v>432227639</v>
      </c>
      <c r="G224" s="1064"/>
      <c r="H224" s="1064"/>
      <c r="I224" s="1064"/>
      <c r="J224" s="1064"/>
      <c r="K224" s="1064"/>
      <c r="L224" s="1064"/>
      <c r="M224" s="1064"/>
      <c r="N224" s="1064"/>
      <c r="O224" s="1064"/>
      <c r="P224" s="1064"/>
      <c r="Q224" s="1065"/>
    </row>
    <row r="225" spans="1:17" s="889" customFormat="1" ht="13.5" customHeight="1">
      <c r="A225" s="870"/>
      <c r="B225" s="871"/>
      <c r="C225" s="871"/>
      <c r="D225" s="1183"/>
      <c r="E225" s="874" t="str">
        <f>E86</f>
        <v>無し</v>
      </c>
      <c r="F225" s="2786" t="s">
        <v>2660</v>
      </c>
      <c r="G225" s="2787"/>
      <c r="H225" s="1068"/>
      <c r="I225" s="1068"/>
      <c r="J225" s="1068"/>
      <c r="K225" s="1068"/>
      <c r="L225" s="1068"/>
      <c r="M225" s="1068"/>
      <c r="N225" s="1068"/>
      <c r="O225" s="1068"/>
      <c r="P225" s="1068"/>
      <c r="Q225" s="1069"/>
    </row>
    <row r="226" spans="1:17" s="889" customFormat="1" ht="13.5" customHeight="1">
      <c r="A226" s="2788" t="s">
        <v>2661</v>
      </c>
      <c r="B226" s="2789"/>
      <c r="C226" s="2790"/>
      <c r="D226" s="1184"/>
      <c r="E226" s="1185" t="str">
        <f>+E87</f>
        <v>有り</v>
      </c>
      <c r="F226" s="2791" t="s">
        <v>2662</v>
      </c>
      <c r="G226" s="2792"/>
      <c r="H226" s="1064"/>
      <c r="I226" s="1064"/>
      <c r="J226" s="1064"/>
      <c r="K226" s="1064"/>
      <c r="L226" s="1064"/>
      <c r="M226" s="1064"/>
      <c r="N226" s="1064"/>
      <c r="O226" s="1064"/>
      <c r="P226" s="1064"/>
      <c r="Q226" s="1065"/>
    </row>
    <row r="227" spans="1:17" s="889" customFormat="1" ht="13.5" customHeight="1">
      <c r="A227" s="2793"/>
      <c r="B227" s="1186" t="s">
        <v>161</v>
      </c>
      <c r="C227" s="1187" t="s">
        <v>2663</v>
      </c>
      <c r="D227" s="1188">
        <v>1</v>
      </c>
      <c r="E227" s="1189">
        <f>+G296/100</f>
        <v>0.111</v>
      </c>
      <c r="F227" s="900">
        <f>SUM(G227:Q227)</f>
        <v>432227639</v>
      </c>
      <c r="G227" s="1068">
        <f>+G222-G232</f>
        <v>37092902</v>
      </c>
      <c r="H227" s="1068">
        <f t="shared" ref="H227:Q227" si="292">+H222-H232</f>
        <v>24600996</v>
      </c>
      <c r="I227" s="1068">
        <f>+I222-I232</f>
        <v>2353309</v>
      </c>
      <c r="J227" s="1068">
        <f t="shared" ref="J227:L227" si="293">+J222-J232</f>
        <v>120735841</v>
      </c>
      <c r="K227" s="1068">
        <f t="shared" si="293"/>
        <v>11393752</v>
      </c>
      <c r="L227" s="1068">
        <f t="shared" si="293"/>
        <v>49588917</v>
      </c>
      <c r="M227" s="1068">
        <f t="shared" si="292"/>
        <v>31650790</v>
      </c>
      <c r="N227" s="1068">
        <f t="shared" si="292"/>
        <v>154811132</v>
      </c>
      <c r="O227" s="1068">
        <f t="shared" si="292"/>
        <v>0</v>
      </c>
      <c r="P227" s="1068">
        <f t="shared" si="292"/>
        <v>0</v>
      </c>
      <c r="Q227" s="1069">
        <f t="shared" si="292"/>
        <v>0</v>
      </c>
    </row>
    <row r="228" spans="1:17" s="889" customFormat="1" ht="13.5" customHeight="1">
      <c r="A228" s="2753"/>
      <c r="B228" s="2758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0.111</v>
      </c>
      <c r="F228" s="904">
        <f>SUM(G228:Q228)</f>
        <v>432227639</v>
      </c>
      <c r="G228" s="905">
        <f>IF(G245=0,+G227,0)</f>
        <v>37092902</v>
      </c>
      <c r="H228" s="905">
        <f>IF(H245=0,+H227,0)</f>
        <v>24600996</v>
      </c>
      <c r="I228" s="905">
        <f t="shared" ref="I228:Q228" si="294">IF(I245=0,+I227,0)</f>
        <v>2353309</v>
      </c>
      <c r="J228" s="905">
        <f t="shared" ref="J228:L228" si="295">IF(J245=0,+J227,0)</f>
        <v>120735841</v>
      </c>
      <c r="K228" s="905">
        <f t="shared" si="295"/>
        <v>11393752</v>
      </c>
      <c r="L228" s="905">
        <f t="shared" si="295"/>
        <v>49588917</v>
      </c>
      <c r="M228" s="905">
        <f t="shared" si="294"/>
        <v>31650790</v>
      </c>
      <c r="N228" s="905">
        <f t="shared" si="294"/>
        <v>154811132</v>
      </c>
      <c r="O228" s="905">
        <f t="shared" si="294"/>
        <v>0</v>
      </c>
      <c r="P228" s="905">
        <f t="shared" si="294"/>
        <v>0</v>
      </c>
      <c r="Q228" s="906">
        <f t="shared" si="294"/>
        <v>0</v>
      </c>
    </row>
    <row r="229" spans="1:17" s="889" customFormat="1" ht="13.5" customHeight="1">
      <c r="A229" s="2753"/>
      <c r="B229" s="2757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SUM(G229:Q229)</f>
        <v>432227639</v>
      </c>
      <c r="G229" s="905">
        <f>IF(G245=0,+G227,0)</f>
        <v>37092902</v>
      </c>
      <c r="H229" s="905">
        <f t="shared" ref="H229:Q229" si="296">IF(H245=0,+H227,0)</f>
        <v>24600996</v>
      </c>
      <c r="I229" s="905">
        <f t="shared" si="296"/>
        <v>2353309</v>
      </c>
      <c r="J229" s="905">
        <f t="shared" ref="J229:L229" si="297">IF(J245=0,+J227,0)</f>
        <v>120735841</v>
      </c>
      <c r="K229" s="905">
        <f t="shared" si="297"/>
        <v>11393752</v>
      </c>
      <c r="L229" s="905">
        <f t="shared" si="297"/>
        <v>49588917</v>
      </c>
      <c r="M229" s="905">
        <f t="shared" si="296"/>
        <v>31650790</v>
      </c>
      <c r="N229" s="905">
        <f t="shared" si="296"/>
        <v>154811132</v>
      </c>
      <c r="O229" s="905">
        <f t="shared" si="296"/>
        <v>0</v>
      </c>
      <c r="P229" s="905">
        <f t="shared" si="296"/>
        <v>0</v>
      </c>
      <c r="Q229" s="906">
        <f t="shared" si="296"/>
        <v>0</v>
      </c>
    </row>
    <row r="230" spans="1:17" s="889" customFormat="1" ht="13.5" customHeight="1">
      <c r="A230" s="2753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5"/>
      <c r="O230" s="905"/>
      <c r="P230" s="905"/>
      <c r="Q230" s="906"/>
    </row>
    <row r="231" spans="1:17" s="889" customFormat="1" ht="13.5" customHeight="1">
      <c r="A231" s="2753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5"/>
      <c r="O231" s="905"/>
      <c r="P231" s="905"/>
      <c r="Q231" s="906"/>
    </row>
    <row r="232" spans="1:17" s="889" customFormat="1" ht="13.5" customHeight="1">
      <c r="A232" s="2753"/>
      <c r="B232" s="2758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SUM(G232:Q232)</f>
        <v>0</v>
      </c>
      <c r="G232" s="905">
        <f>+G136</f>
        <v>0</v>
      </c>
      <c r="H232" s="905">
        <f t="shared" ref="H232:Q232" si="298">+H136</f>
        <v>0</v>
      </c>
      <c r="I232" s="905">
        <f t="shared" si="298"/>
        <v>0</v>
      </c>
      <c r="J232" s="905">
        <f t="shared" ref="J232" si="299">+J136</f>
        <v>0</v>
      </c>
      <c r="K232" s="905">
        <f>+K136</f>
        <v>0</v>
      </c>
      <c r="L232" s="905">
        <f t="shared" ref="L232" si="300">+L136</f>
        <v>0</v>
      </c>
      <c r="M232" s="905">
        <f t="shared" si="298"/>
        <v>0</v>
      </c>
      <c r="N232" s="905">
        <f>+N136</f>
        <v>0</v>
      </c>
      <c r="O232" s="905">
        <f t="shared" si="298"/>
        <v>0</v>
      </c>
      <c r="P232" s="905">
        <f t="shared" si="298"/>
        <v>0</v>
      </c>
      <c r="Q232" s="906">
        <f t="shared" si="298"/>
        <v>0</v>
      </c>
    </row>
    <row r="233" spans="1:17" s="889" customFormat="1" ht="13.5" customHeight="1">
      <c r="A233" s="2753"/>
      <c r="B233" s="2756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5"/>
      <c r="O233" s="905"/>
      <c r="P233" s="905"/>
      <c r="Q233" s="906"/>
    </row>
    <row r="234" spans="1:17" s="889" customFormat="1" ht="13.5" customHeight="1">
      <c r="A234" s="2754"/>
      <c r="B234" s="2759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4"/>
      <c r="O234" s="1064"/>
      <c r="P234" s="1064"/>
      <c r="Q234" s="1065"/>
    </row>
    <row r="235" spans="1:17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8"/>
      <c r="O235" s="1068"/>
      <c r="P235" s="1068"/>
      <c r="Q235" s="1069"/>
    </row>
    <row r="236" spans="1:17" s="889" customFormat="1" ht="13.5" customHeight="1">
      <c r="A236" s="2788" t="s">
        <v>2668</v>
      </c>
      <c r="B236" s="2789"/>
      <c r="C236" s="2790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4"/>
      <c r="O236" s="1064"/>
      <c r="P236" s="1064"/>
      <c r="Q236" s="1065"/>
    </row>
    <row r="237" spans="1:17" s="889" customFormat="1" ht="13.5" customHeight="1">
      <c r="A237" s="879"/>
      <c r="B237" s="1204" t="s">
        <v>161</v>
      </c>
      <c r="C237" s="1187" t="s">
        <v>2663</v>
      </c>
      <c r="D237" s="1188">
        <f t="shared" ref="D237:E239" si="301">+D227</f>
        <v>1</v>
      </c>
      <c r="E237" s="1205">
        <f>+E227</f>
        <v>0.111</v>
      </c>
      <c r="F237" s="904">
        <f>INT(D237*E237*F227)</f>
        <v>47977267</v>
      </c>
      <c r="G237" s="1068">
        <f>F237-SUM(H237:Q237)</f>
        <v>4117312</v>
      </c>
      <c r="H237" s="1068">
        <f>IF(H227=0,0,ROUND($F237/$F227*H227,0))</f>
        <v>2730711</v>
      </c>
      <c r="I237" s="1068">
        <f t="shared" ref="H237:Q239" si="302">IF(I227=0,0,ROUND($F237/$F227*I227,0))</f>
        <v>261217</v>
      </c>
      <c r="J237" s="1068">
        <f t="shared" ref="J237:L237" si="303">IF(J227=0,0,ROUND($F237/$F227*J227,0))</f>
        <v>13401678</v>
      </c>
      <c r="K237" s="1068">
        <f t="shared" si="303"/>
        <v>1264706</v>
      </c>
      <c r="L237" s="1068">
        <f t="shared" si="303"/>
        <v>5504370</v>
      </c>
      <c r="M237" s="1068">
        <f t="shared" si="302"/>
        <v>3513238</v>
      </c>
      <c r="N237" s="1068">
        <f t="shared" si="302"/>
        <v>17184035</v>
      </c>
      <c r="O237" s="1068">
        <f t="shared" si="302"/>
        <v>0</v>
      </c>
      <c r="P237" s="1068">
        <f t="shared" si="302"/>
        <v>0</v>
      </c>
      <c r="Q237" s="1069">
        <f t="shared" si="302"/>
        <v>0</v>
      </c>
    </row>
    <row r="238" spans="1:17" s="889" customFormat="1" ht="13.5" customHeight="1">
      <c r="A238" s="879"/>
      <c r="B238" s="2758" t="s">
        <v>2664</v>
      </c>
      <c r="C238" s="903" t="s">
        <v>2665</v>
      </c>
      <c r="D238" s="1193">
        <f t="shared" si="301"/>
        <v>0.05</v>
      </c>
      <c r="E238" s="1104">
        <f t="shared" si="301"/>
        <v>0.111</v>
      </c>
      <c r="F238" s="904">
        <f>INT(D238*E238*F228)</f>
        <v>2398863</v>
      </c>
      <c r="G238" s="905">
        <f>F238-SUM(H238:Q238)</f>
        <v>205865</v>
      </c>
      <c r="H238" s="905">
        <f t="shared" si="302"/>
        <v>136536</v>
      </c>
      <c r="I238" s="905">
        <f t="shared" si="302"/>
        <v>13061</v>
      </c>
      <c r="J238" s="905">
        <f t="shared" ref="J238:L238" si="304">IF(J228=0,0,ROUND($F238/$F228*J228,0))</f>
        <v>670084</v>
      </c>
      <c r="K238" s="905">
        <f t="shared" si="304"/>
        <v>63235</v>
      </c>
      <c r="L238" s="905">
        <f t="shared" si="304"/>
        <v>275218</v>
      </c>
      <c r="M238" s="905">
        <f t="shared" si="302"/>
        <v>175662</v>
      </c>
      <c r="N238" s="905">
        <f t="shared" si="302"/>
        <v>859202</v>
      </c>
      <c r="O238" s="905">
        <f t="shared" si="302"/>
        <v>0</v>
      </c>
      <c r="P238" s="905">
        <f t="shared" si="302"/>
        <v>0</v>
      </c>
      <c r="Q238" s="906">
        <f t="shared" si="302"/>
        <v>0</v>
      </c>
    </row>
    <row r="239" spans="1:17" s="889" customFormat="1" ht="13.5" customHeight="1">
      <c r="A239" s="879"/>
      <c r="B239" s="2757"/>
      <c r="C239" s="903" t="s">
        <v>2666</v>
      </c>
      <c r="D239" s="1193">
        <f t="shared" si="301"/>
        <v>1</v>
      </c>
      <c r="E239" s="1104">
        <f t="shared" si="301"/>
        <v>4.0000000000000002E-4</v>
      </c>
      <c r="F239" s="904">
        <f>INT(D239*E239*F229)</f>
        <v>172891</v>
      </c>
      <c r="G239" s="905">
        <f>F239-SUM(H239:Q239)</f>
        <v>14839</v>
      </c>
      <c r="H239" s="905">
        <f>IF(H229=0,0,ROUND($F239/$F229*H229,0))</f>
        <v>9840</v>
      </c>
      <c r="I239" s="905">
        <f t="shared" si="302"/>
        <v>941</v>
      </c>
      <c r="J239" s="905">
        <f t="shared" ref="J239:L239" si="305">IF(J229=0,0,ROUND($F239/$F229*J229,0))</f>
        <v>48294</v>
      </c>
      <c r="K239" s="905">
        <f t="shared" si="305"/>
        <v>4557</v>
      </c>
      <c r="L239" s="905">
        <f t="shared" si="305"/>
        <v>19836</v>
      </c>
      <c r="M239" s="905">
        <f t="shared" si="302"/>
        <v>12660</v>
      </c>
      <c r="N239" s="905">
        <f t="shared" si="302"/>
        <v>61924</v>
      </c>
      <c r="O239" s="905">
        <f t="shared" si="302"/>
        <v>0</v>
      </c>
      <c r="P239" s="905">
        <f t="shared" si="302"/>
        <v>0</v>
      </c>
      <c r="Q239" s="906">
        <f t="shared" si="302"/>
        <v>0</v>
      </c>
    </row>
    <row r="240" spans="1:17" s="889" customFormat="1" ht="13.5" customHeight="1">
      <c r="A240" s="879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5"/>
      <c r="O240" s="905"/>
      <c r="P240" s="905"/>
      <c r="Q240" s="906"/>
    </row>
    <row r="241" spans="1:17" s="889" customFormat="1" ht="13.5" customHeight="1">
      <c r="A241" s="879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5"/>
      <c r="O241" s="905"/>
      <c r="P241" s="905"/>
      <c r="Q241" s="906"/>
    </row>
    <row r="242" spans="1:17" s="889" customFormat="1" ht="13.5" customHeight="1">
      <c r="A242" s="879"/>
      <c r="B242" s="2758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F242-SUM(H242:Q242)</f>
        <v>0</v>
      </c>
      <c r="H242" s="905">
        <f t="shared" ref="H242:Q242" si="306">IF(H232=0,0,ROUND($F242/$F232*H232,0))</f>
        <v>0</v>
      </c>
      <c r="I242" s="905">
        <f t="shared" si="306"/>
        <v>0</v>
      </c>
      <c r="J242" s="905">
        <f t="shared" ref="J242" si="307">IF(J232=0,0,ROUND($F242/$F232*J232,0))</f>
        <v>0</v>
      </c>
      <c r="K242" s="905">
        <f>IF(K232=0,0,ROUND($F242/$F232*K232,0))</f>
        <v>0</v>
      </c>
      <c r="L242" s="905">
        <f t="shared" ref="L242" si="308">IF(L232=0,0,ROUND($F242/$F232*L232,0))</f>
        <v>0</v>
      </c>
      <c r="M242" s="905">
        <f t="shared" si="306"/>
        <v>0</v>
      </c>
      <c r="N242" s="905">
        <f>IF(N232=0,0,ROUND($F242/$F232*N232,0))</f>
        <v>0</v>
      </c>
      <c r="O242" s="905">
        <f t="shared" si="306"/>
        <v>0</v>
      </c>
      <c r="P242" s="905">
        <f t="shared" si="306"/>
        <v>0</v>
      </c>
      <c r="Q242" s="906">
        <f t="shared" si="306"/>
        <v>0</v>
      </c>
    </row>
    <row r="243" spans="1:17" s="889" customFormat="1" ht="13.5" customHeight="1">
      <c r="A243" s="879"/>
      <c r="B243" s="2756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5"/>
      <c r="O243" s="905"/>
      <c r="P243" s="905"/>
      <c r="Q243" s="906"/>
    </row>
    <row r="244" spans="1:17" s="889" customFormat="1" ht="13.5" customHeight="1">
      <c r="A244" s="1206"/>
      <c r="B244" s="2757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5"/>
      <c r="O244" s="905"/>
      <c r="P244" s="905"/>
      <c r="Q244" s="906"/>
    </row>
    <row r="245" spans="1:17" s="889" customFormat="1" ht="13.5" customHeight="1">
      <c r="A245" s="1206"/>
      <c r="B245" s="2794" t="s">
        <v>2650</v>
      </c>
      <c r="C245" s="1120" t="s">
        <v>2669</v>
      </c>
      <c r="D245" s="1207"/>
      <c r="E245" s="1208"/>
      <c r="F245" s="1209">
        <f>SUM(G245:Q245)</f>
        <v>0</v>
      </c>
      <c r="G245" s="1210"/>
      <c r="H245" s="1210"/>
      <c r="I245" s="1210"/>
      <c r="J245" s="1210"/>
      <c r="K245" s="1210"/>
      <c r="L245" s="1210"/>
      <c r="M245" s="1210"/>
      <c r="N245" s="1210"/>
      <c r="O245" s="1210"/>
      <c r="P245" s="1210"/>
      <c r="Q245" s="1211"/>
    </row>
    <row r="246" spans="1:17" s="889" customFormat="1" ht="13.5" customHeight="1">
      <c r="A246" s="879"/>
      <c r="B246" s="2810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 t="s">
        <v>2671</v>
      </c>
      <c r="N246" s="905"/>
      <c r="O246" s="905"/>
      <c r="P246" s="905"/>
      <c r="Q246" s="906"/>
    </row>
    <row r="247" spans="1:17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8"/>
      <c r="O247" s="1068"/>
      <c r="P247" s="1068"/>
      <c r="Q247" s="1069"/>
    </row>
    <row r="248" spans="1:17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SUM(G248:Q248)</f>
        <v>50549021</v>
      </c>
      <c r="G248" s="905">
        <f t="shared" ref="G248:Q248" si="309">SUM(G237:G246)</f>
        <v>4338016</v>
      </c>
      <c r="H248" s="905">
        <f t="shared" si="309"/>
        <v>2877087</v>
      </c>
      <c r="I248" s="905">
        <f t="shared" si="309"/>
        <v>275219</v>
      </c>
      <c r="J248" s="905">
        <f t="shared" ref="J248:L248" si="310">SUM(J237:J246)</f>
        <v>14120056</v>
      </c>
      <c r="K248" s="905">
        <f t="shared" si="310"/>
        <v>1332498</v>
      </c>
      <c r="L248" s="905">
        <f t="shared" si="310"/>
        <v>5799424</v>
      </c>
      <c r="M248" s="905">
        <f t="shared" si="309"/>
        <v>3701560</v>
      </c>
      <c r="N248" s="905">
        <f t="shared" si="309"/>
        <v>18105161</v>
      </c>
      <c r="O248" s="905">
        <f t="shared" si="309"/>
        <v>0</v>
      </c>
      <c r="P248" s="905">
        <f t="shared" si="309"/>
        <v>0</v>
      </c>
      <c r="Q248" s="906">
        <f t="shared" si="309"/>
        <v>0</v>
      </c>
    </row>
    <row r="249" spans="1:17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SUM(G249:Q249)</f>
        <v>432227639</v>
      </c>
      <c r="G249" s="905">
        <f t="shared" ref="G249:Q249" si="311">+G216</f>
        <v>37092902</v>
      </c>
      <c r="H249" s="905">
        <f t="shared" si="311"/>
        <v>24600996</v>
      </c>
      <c r="I249" s="905">
        <f t="shared" si="311"/>
        <v>2353309</v>
      </c>
      <c r="J249" s="905">
        <f t="shared" ref="J249:L249" si="312">+J216</f>
        <v>120735841</v>
      </c>
      <c r="K249" s="905">
        <f t="shared" si="312"/>
        <v>11393752</v>
      </c>
      <c r="L249" s="905">
        <f t="shared" si="312"/>
        <v>49588917</v>
      </c>
      <c r="M249" s="905">
        <f t="shared" si="311"/>
        <v>31650790</v>
      </c>
      <c r="N249" s="905">
        <f t="shared" si="311"/>
        <v>154811132</v>
      </c>
      <c r="O249" s="905">
        <f t="shared" si="311"/>
        <v>0</v>
      </c>
      <c r="P249" s="905">
        <f t="shared" si="311"/>
        <v>0</v>
      </c>
      <c r="Q249" s="906">
        <f t="shared" si="311"/>
        <v>0</v>
      </c>
    </row>
    <row r="250" spans="1:17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SUM(G250:Q250)</f>
        <v>482776660</v>
      </c>
      <c r="G250" s="1219">
        <f>SUM(G248:G249)</f>
        <v>41430918</v>
      </c>
      <c r="H250" s="1219">
        <f t="shared" ref="H250:Q250" si="313">SUM(H248:H249)</f>
        <v>27478083</v>
      </c>
      <c r="I250" s="1219">
        <f t="shared" si="313"/>
        <v>2628528</v>
      </c>
      <c r="J250" s="1219">
        <f t="shared" ref="J250" si="314">SUM(J248:J249)</f>
        <v>134855897</v>
      </c>
      <c r="K250" s="1219">
        <f>SUM(K248:K249)</f>
        <v>12726250</v>
      </c>
      <c r="L250" s="1219">
        <f t="shared" ref="L250" si="315">SUM(L248:L249)</f>
        <v>55388341</v>
      </c>
      <c r="M250" s="1219">
        <f t="shared" si="313"/>
        <v>35352350</v>
      </c>
      <c r="N250" s="1219">
        <f>SUM(N248:N249)</f>
        <v>172916293</v>
      </c>
      <c r="O250" s="1219">
        <f t="shared" si="313"/>
        <v>0</v>
      </c>
      <c r="P250" s="1219">
        <f t="shared" si="313"/>
        <v>0</v>
      </c>
      <c r="Q250" s="1220">
        <f t="shared" si="313"/>
        <v>0</v>
      </c>
    </row>
    <row r="251" spans="1:17" s="889" customFormat="1" ht="13.5" customHeight="1" thickTop="1">
      <c r="A251" s="879"/>
      <c r="B251" s="880"/>
      <c r="C251" s="880"/>
      <c r="D251" s="918"/>
      <c r="E251" s="918"/>
      <c r="F251" s="919"/>
      <c r="G251" s="1221">
        <f t="shared" ref="G251:Q251" si="316">ROUNDDOWN(G250,-3)</f>
        <v>41430000</v>
      </c>
      <c r="H251" s="1221">
        <f>ROUNDDOWN(H250,-3)</f>
        <v>27478000</v>
      </c>
      <c r="I251" s="1221">
        <f t="shared" si="316"/>
        <v>2628000</v>
      </c>
      <c r="J251" s="1221">
        <f t="shared" ref="J251" si="317">ROUNDDOWN(J250,-3)</f>
        <v>134855000</v>
      </c>
      <c r="K251" s="1221">
        <f>ROUNDDOWN(K250,-3)</f>
        <v>12726000</v>
      </c>
      <c r="L251" s="1221">
        <f t="shared" ref="L251" si="318">ROUNDDOWN(L250,-3)</f>
        <v>55388000</v>
      </c>
      <c r="M251" s="1221">
        <f t="shared" si="316"/>
        <v>35352000</v>
      </c>
      <c r="N251" s="1221">
        <f>ROUNDDOWN(N250,-3)</f>
        <v>172916000</v>
      </c>
      <c r="O251" s="1221">
        <f t="shared" si="316"/>
        <v>0</v>
      </c>
      <c r="P251" s="1221">
        <f t="shared" si="316"/>
        <v>0</v>
      </c>
      <c r="Q251" s="1222">
        <f t="shared" si="316"/>
        <v>0</v>
      </c>
    </row>
    <row r="252" spans="1:17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SUM(G252:Q252)</f>
        <v>432227639</v>
      </c>
      <c r="G252" s="905">
        <f t="shared" ref="G252:Q252" si="319">+G249</f>
        <v>37092902</v>
      </c>
      <c r="H252" s="905">
        <f t="shared" si="319"/>
        <v>24600996</v>
      </c>
      <c r="I252" s="905">
        <f>+I249</f>
        <v>2353309</v>
      </c>
      <c r="J252" s="905">
        <f>+J249</f>
        <v>120735841</v>
      </c>
      <c r="K252" s="905">
        <f>+K249</f>
        <v>11393752</v>
      </c>
      <c r="L252" s="905">
        <f t="shared" ref="L252" si="320">+L249</f>
        <v>49588917</v>
      </c>
      <c r="M252" s="905">
        <f>+M249</f>
        <v>31650790</v>
      </c>
      <c r="N252" s="905">
        <f>+N249</f>
        <v>154811132</v>
      </c>
      <c r="O252" s="905">
        <f t="shared" si="319"/>
        <v>0</v>
      </c>
      <c r="P252" s="905">
        <f t="shared" si="319"/>
        <v>0</v>
      </c>
      <c r="Q252" s="906">
        <f t="shared" si="319"/>
        <v>0</v>
      </c>
    </row>
    <row r="253" spans="1:17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SUM(G253:Q253)</f>
        <v>50472361</v>
      </c>
      <c r="G253" s="905">
        <f t="shared" ref="G253:Q253" si="321">+G248-(G250-G255)</f>
        <v>4329098</v>
      </c>
      <c r="H253" s="905">
        <f>+H248-(H250-H255)</f>
        <v>2873004</v>
      </c>
      <c r="I253" s="905">
        <f t="shared" si="321"/>
        <v>274691</v>
      </c>
      <c r="J253" s="905">
        <f>+J248-(J250-J255)</f>
        <v>14099159</v>
      </c>
      <c r="K253" s="905">
        <f>+K248-(K250-K255)</f>
        <v>1330248</v>
      </c>
      <c r="L253" s="905">
        <f t="shared" ref="L253" si="322">+L248-(L250-L255)</f>
        <v>5791083</v>
      </c>
      <c r="M253" s="905">
        <f>+M248-(M250-M255)</f>
        <v>3696210</v>
      </c>
      <c r="N253" s="905">
        <f>+N248-(N250-N255)</f>
        <v>18078868</v>
      </c>
      <c r="O253" s="905">
        <f t="shared" si="321"/>
        <v>0</v>
      </c>
      <c r="P253" s="905">
        <f t="shared" si="321"/>
        <v>0</v>
      </c>
      <c r="Q253" s="906">
        <f t="shared" si="321"/>
        <v>0</v>
      </c>
    </row>
    <row r="254" spans="1:17" s="889" customFormat="1" ht="13.5" customHeight="1">
      <c r="A254" s="1213"/>
      <c r="B254" s="1073"/>
      <c r="C254" s="1073"/>
      <c r="D254" s="903"/>
      <c r="E254" s="1223">
        <f>SUM(G251:Q251)</f>
        <v>482773000</v>
      </c>
      <c r="F254" s="904" t="s">
        <v>2675</v>
      </c>
      <c r="G254" s="905">
        <f t="shared" ref="G254:Q254" si="323">+G248-G253</f>
        <v>8918</v>
      </c>
      <c r="H254" s="905">
        <f t="shared" si="323"/>
        <v>4083</v>
      </c>
      <c r="I254" s="905">
        <f t="shared" si="323"/>
        <v>528</v>
      </c>
      <c r="J254" s="905">
        <f t="shared" ref="J254" si="324">+J248-J253</f>
        <v>20897</v>
      </c>
      <c r="K254" s="905">
        <f>+K248-K253</f>
        <v>2250</v>
      </c>
      <c r="L254" s="905">
        <f t="shared" ref="L254" si="325">+L248-L253</f>
        <v>8341</v>
      </c>
      <c r="M254" s="905">
        <f t="shared" si="323"/>
        <v>5350</v>
      </c>
      <c r="N254" s="905">
        <f>+N248-N253</f>
        <v>26293</v>
      </c>
      <c r="O254" s="905">
        <f t="shared" si="323"/>
        <v>0</v>
      </c>
      <c r="P254" s="1224">
        <f t="shared" si="323"/>
        <v>0</v>
      </c>
      <c r="Q254" s="1225">
        <f t="shared" si="323"/>
        <v>0</v>
      </c>
    </row>
    <row r="255" spans="1:17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482700000</v>
      </c>
      <c r="F255" s="1228">
        <f>+E255</f>
        <v>482700000</v>
      </c>
      <c r="G255" s="1224">
        <f>IF(F256+SUM(H255:Q255)=F255,F256,F255-SUM(H255:Q255))</f>
        <v>41422000</v>
      </c>
      <c r="H255" s="1224">
        <f t="shared" ref="H255:Q255" si="326">IF(H245="",+H251-ROUND($E$256*H250/$F$250,-3),H250)</f>
        <v>27474000</v>
      </c>
      <c r="I255" s="1224">
        <f t="shared" si="326"/>
        <v>2628000</v>
      </c>
      <c r="J255" s="1224">
        <f t="shared" ref="J255:L255" si="327">IF(J245="",+J251-ROUND($E$256*J250/$F$250,-3),J250)</f>
        <v>134835000</v>
      </c>
      <c r="K255" s="1224">
        <f t="shared" si="327"/>
        <v>12724000</v>
      </c>
      <c r="L255" s="1224">
        <f t="shared" si="327"/>
        <v>55380000</v>
      </c>
      <c r="M255" s="1224">
        <f t="shared" si="326"/>
        <v>35347000</v>
      </c>
      <c r="N255" s="1224">
        <f t="shared" si="326"/>
        <v>172890000</v>
      </c>
      <c r="O255" s="1224">
        <f t="shared" si="326"/>
        <v>0</v>
      </c>
      <c r="P255" s="1224">
        <f t="shared" si="326"/>
        <v>0</v>
      </c>
      <c r="Q255" s="1225">
        <f t="shared" si="326"/>
        <v>0</v>
      </c>
    </row>
    <row r="256" spans="1:17" s="889" customFormat="1" ht="13.5" customHeight="1">
      <c r="A256" s="1229"/>
      <c r="B256" s="1230"/>
      <c r="C256" s="1230"/>
      <c r="D256" s="1231"/>
      <c r="E256" s="1232">
        <f>E254-E255</f>
        <v>73000</v>
      </c>
      <c r="F256" s="1233">
        <f>+G251-ROUND($E$256*G250/$F$250,-3)</f>
        <v>41424000</v>
      </c>
      <c r="G256" s="1232">
        <f t="shared" ref="G256:Q256" si="328">IF(LEN(G250)&lt;=7,-3,IF(LEN(G250)=8,-4,IF(LEN(G250)&gt;=9,-5,-6)))</f>
        <v>-4</v>
      </c>
      <c r="H256" s="1232">
        <f t="shared" si="328"/>
        <v>-4</v>
      </c>
      <c r="I256" s="1232">
        <f t="shared" si="328"/>
        <v>-3</v>
      </c>
      <c r="J256" s="1232">
        <f>IF(LEN(J250)&lt;=7,-3,IF(LEN(J250)=8,-4,IF(LEN(J250)&gt;=9,-5,-6)))</f>
        <v>-5</v>
      </c>
      <c r="K256" s="1232">
        <f>IF(LEN(K250)&lt;=7,-3,IF(LEN(K250)=8,-4,IF(LEN(K250)&gt;=9,-5,-6)))</f>
        <v>-4</v>
      </c>
      <c r="L256" s="1232">
        <f t="shared" ref="L256" si="329">IF(LEN(L250)&lt;=7,-3,IF(LEN(L250)=8,-4,IF(LEN(L250)&gt;=9,-5,-6)))</f>
        <v>-4</v>
      </c>
      <c r="M256" s="1232">
        <f>IF(LEN(M250)&lt;=7,-3,IF(LEN(M250)=8,-4,IF(LEN(M250)&gt;=9,-5,-6)))</f>
        <v>-4</v>
      </c>
      <c r="N256" s="1232">
        <f>IF(LEN(N250)&lt;=7,-3,IF(LEN(N250)=8,-4,IF(LEN(N250)&gt;=9,-5,-6)))</f>
        <v>-5</v>
      </c>
      <c r="O256" s="1232">
        <f t="shared" si="328"/>
        <v>-3</v>
      </c>
      <c r="P256" s="1232">
        <f t="shared" si="328"/>
        <v>-3</v>
      </c>
      <c r="Q256" s="1234">
        <f t="shared" si="328"/>
        <v>-3</v>
      </c>
    </row>
    <row r="257" spans="1:17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  <c r="O257" s="1237"/>
      <c r="P257" s="1237"/>
      <c r="Q257" s="1237"/>
    </row>
    <row r="258" spans="1:17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Q258" si="330">+G84</f>
        <v>16.600000000000001</v>
      </c>
      <c r="H258" s="1243">
        <f t="shared" si="330"/>
        <v>11</v>
      </c>
      <c r="I258" s="1243">
        <f t="shared" si="330"/>
        <v>16.600000000000001</v>
      </c>
      <c r="J258" s="1243">
        <f t="shared" ref="J258:L258" si="331">+J84</f>
        <v>16.600000000000001</v>
      </c>
      <c r="K258" s="1243">
        <f t="shared" si="331"/>
        <v>16.600000000000001</v>
      </c>
      <c r="L258" s="1243">
        <f t="shared" si="331"/>
        <v>16.600000000000001</v>
      </c>
      <c r="M258" s="1243">
        <f t="shared" si="330"/>
        <v>11</v>
      </c>
      <c r="N258" s="1243">
        <f t="shared" si="330"/>
        <v>16.600000000000001</v>
      </c>
      <c r="O258" s="1243">
        <f t="shared" si="330"/>
        <v>0</v>
      </c>
      <c r="P258" s="1243">
        <f t="shared" si="330"/>
        <v>0</v>
      </c>
      <c r="Q258" s="1244">
        <f t="shared" si="330"/>
        <v>0</v>
      </c>
    </row>
    <row r="259" spans="1:17" s="889" customFormat="1" ht="15" hidden="1" customHeight="1">
      <c r="A259" s="2802"/>
      <c r="B259" s="2805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5.35</v>
      </c>
      <c r="H259" s="1248">
        <f>IF($F141&lt;=10000000,ROUND(7.56*(10000^-0.1105)*(H258^0.2389),2),ROUND(7.56*(($F141/1000)^-0.1105)*(H258^0.2389),2))</f>
        <v>4.8499999999999996</v>
      </c>
      <c r="I259" s="1248">
        <f t="shared" ref="I259:Q259" si="332">IF($F141&lt;=10000000,ROUND(7.56*(10000^-0.1105)*(I258^0.2389),2),ROUND(7.56*(($F141/1000)^-0.1105)*(I258^0.2389),2))</f>
        <v>5.35</v>
      </c>
      <c r="J259" s="1248">
        <f t="shared" ref="J259:L259" si="333">IF($F141&lt;=10000000,ROUND(7.56*(10000^-0.1105)*(J258^0.2389),2),ROUND(7.56*(($F141/1000)^-0.1105)*(J258^0.2389),2))</f>
        <v>5.35</v>
      </c>
      <c r="K259" s="1248">
        <f t="shared" si="333"/>
        <v>5.35</v>
      </c>
      <c r="L259" s="1248">
        <f t="shared" si="333"/>
        <v>5.35</v>
      </c>
      <c r="M259" s="1248">
        <f t="shared" si="332"/>
        <v>4.8499999999999996</v>
      </c>
      <c r="N259" s="1248">
        <f t="shared" si="332"/>
        <v>5.35</v>
      </c>
      <c r="O259" s="1248">
        <f t="shared" si="332"/>
        <v>0</v>
      </c>
      <c r="P259" s="1248">
        <f t="shared" si="332"/>
        <v>0</v>
      </c>
      <c r="Q259" s="1248">
        <f t="shared" si="332"/>
        <v>0</v>
      </c>
    </row>
    <row r="260" spans="1:17" s="889" customFormat="1" ht="15" hidden="1" customHeight="1">
      <c r="A260" s="2803"/>
      <c r="B260" s="2806"/>
      <c r="C260" s="2808" t="s">
        <v>2682</v>
      </c>
      <c r="D260" s="1124"/>
      <c r="E260" s="1249"/>
      <c r="F260" s="1247" t="s">
        <v>2683</v>
      </c>
      <c r="G260" s="1250">
        <f>IF($F141&lt;=10000000,ROUND(4.33,2),0)</f>
        <v>4.33</v>
      </c>
      <c r="H260" s="1250">
        <f t="shared" ref="H260:Q260" si="334">IF($F141&lt;=10000000,ROUND(4.33,2),0)</f>
        <v>4.33</v>
      </c>
      <c r="I260" s="1250">
        <f t="shared" si="334"/>
        <v>4.33</v>
      </c>
      <c r="J260" s="1250">
        <f t="shared" ref="J260:L260" si="335">IF($F141&lt;=10000000,ROUND(4.33,2),0)</f>
        <v>4.33</v>
      </c>
      <c r="K260" s="1250">
        <f t="shared" si="335"/>
        <v>4.33</v>
      </c>
      <c r="L260" s="1250">
        <f t="shared" si="335"/>
        <v>4.33</v>
      </c>
      <c r="M260" s="1250">
        <f t="shared" si="334"/>
        <v>4.33</v>
      </c>
      <c r="N260" s="1250">
        <f t="shared" si="334"/>
        <v>4.33</v>
      </c>
      <c r="O260" s="1250">
        <f t="shared" si="334"/>
        <v>4.33</v>
      </c>
      <c r="P260" s="1250">
        <f t="shared" si="334"/>
        <v>4.33</v>
      </c>
      <c r="Q260" s="1250">
        <f t="shared" si="334"/>
        <v>4.33</v>
      </c>
    </row>
    <row r="261" spans="1:17" s="889" customFormat="1" ht="15" hidden="1" customHeight="1">
      <c r="A261" s="2803"/>
      <c r="B261" s="2806"/>
      <c r="C261" s="2809"/>
      <c r="D261" s="1251"/>
      <c r="E261" s="1252"/>
      <c r="F261" s="1247" t="s">
        <v>2684</v>
      </c>
      <c r="G261" s="1250">
        <f>IF($F141&lt;=10000000,ROUND(3.25,2),0)</f>
        <v>3.25</v>
      </c>
      <c r="H261" s="1250">
        <f t="shared" ref="H261:Q261" si="336">IF($F141&lt;=10000000,ROUND(3.25,2),0)</f>
        <v>3.25</v>
      </c>
      <c r="I261" s="1250">
        <f t="shared" si="336"/>
        <v>3.25</v>
      </c>
      <c r="J261" s="1250">
        <f t="shared" ref="J261:L261" si="337">IF($F141&lt;=10000000,ROUND(3.25,2),0)</f>
        <v>3.25</v>
      </c>
      <c r="K261" s="1250">
        <f t="shared" si="337"/>
        <v>3.25</v>
      </c>
      <c r="L261" s="1250">
        <f t="shared" si="337"/>
        <v>3.25</v>
      </c>
      <c r="M261" s="1250">
        <f t="shared" si="336"/>
        <v>3.25</v>
      </c>
      <c r="N261" s="1250">
        <f t="shared" si="336"/>
        <v>3.25</v>
      </c>
      <c r="O261" s="1250">
        <f t="shared" si="336"/>
        <v>3.25</v>
      </c>
      <c r="P261" s="1250">
        <f t="shared" si="336"/>
        <v>3.25</v>
      </c>
      <c r="Q261" s="1250">
        <f t="shared" si="336"/>
        <v>3.25</v>
      </c>
    </row>
    <row r="262" spans="1:17" s="889" customFormat="1" ht="14.25" hidden="1" customHeight="1">
      <c r="A262" s="2803"/>
      <c r="B262" s="2806"/>
      <c r="C262" s="2808" t="s">
        <v>2685</v>
      </c>
      <c r="D262" s="1124"/>
      <c r="E262" s="1249"/>
      <c r="F262" s="1247" t="s">
        <v>2683</v>
      </c>
      <c r="G262" s="1253">
        <f>IF($F141&gt;10000000,ROUND(5.78*($F141/1000)^-0.0313,2),0)</f>
        <v>0</v>
      </c>
      <c r="H262" s="1253">
        <f t="shared" ref="H262:Q262" si="338">IF($F141&gt;10000000,ROUND(5.78*($F141/1000)^-0.0313,2),0)</f>
        <v>0</v>
      </c>
      <c r="I262" s="1253">
        <f t="shared" si="338"/>
        <v>0</v>
      </c>
      <c r="J262" s="1253">
        <f t="shared" ref="J262:L262" si="339">IF($F141&gt;10000000,ROUND(5.78*($F141/1000)^-0.0313,2),0)</f>
        <v>0</v>
      </c>
      <c r="K262" s="1253">
        <f t="shared" si="339"/>
        <v>0</v>
      </c>
      <c r="L262" s="1253">
        <f t="shared" si="339"/>
        <v>0</v>
      </c>
      <c r="M262" s="1253">
        <f t="shared" si="338"/>
        <v>0</v>
      </c>
      <c r="N262" s="1253">
        <f t="shared" si="338"/>
        <v>0</v>
      </c>
      <c r="O262" s="1253">
        <f t="shared" si="338"/>
        <v>0</v>
      </c>
      <c r="P262" s="1253">
        <f t="shared" si="338"/>
        <v>0</v>
      </c>
      <c r="Q262" s="1253">
        <f t="shared" si="338"/>
        <v>0</v>
      </c>
    </row>
    <row r="263" spans="1:17" s="889" customFormat="1" ht="15" hidden="1" customHeight="1">
      <c r="A263" s="2804"/>
      <c r="B263" s="2807"/>
      <c r="C263" s="2809"/>
      <c r="D263" s="1251"/>
      <c r="E263" s="1252"/>
      <c r="F263" s="1247" t="s">
        <v>2684</v>
      </c>
      <c r="G263" s="1253">
        <f>IF($F141&gt;10000000,ROUND(4.34*($F141/1000)^-0.0313,2),0)</f>
        <v>0</v>
      </c>
      <c r="H263" s="1253">
        <f t="shared" ref="H263:Q263" si="340">IF($F141&gt;10000000,ROUND(4.34*($F141/1000)^-0.0313,2),0)</f>
        <v>0</v>
      </c>
      <c r="I263" s="1253">
        <f t="shared" si="340"/>
        <v>0</v>
      </c>
      <c r="J263" s="1253">
        <f t="shared" ref="J263:L263" si="341">IF($F141&gt;10000000,ROUND(4.34*($F141/1000)^-0.0313,2),0)</f>
        <v>0</v>
      </c>
      <c r="K263" s="1253">
        <f t="shared" si="341"/>
        <v>0</v>
      </c>
      <c r="L263" s="1253">
        <f t="shared" si="341"/>
        <v>0</v>
      </c>
      <c r="M263" s="1253">
        <f t="shared" si="340"/>
        <v>0</v>
      </c>
      <c r="N263" s="1253">
        <f t="shared" si="340"/>
        <v>0</v>
      </c>
      <c r="O263" s="1253">
        <f t="shared" si="340"/>
        <v>0</v>
      </c>
      <c r="P263" s="1253">
        <f t="shared" si="340"/>
        <v>0</v>
      </c>
      <c r="Q263" s="1253">
        <f t="shared" si="340"/>
        <v>0</v>
      </c>
    </row>
    <row r="264" spans="1:17" s="889" customFormat="1" ht="15" hidden="1" customHeight="1">
      <c r="A264" s="2796" t="s">
        <v>2686</v>
      </c>
      <c r="B264" s="2797"/>
      <c r="C264" s="2797"/>
      <c r="D264" s="2797"/>
      <c r="E264" s="2797"/>
      <c r="F264" s="2798"/>
      <c r="G264" s="1253">
        <f>IF($F141&lt;=10000000,IF(G$259&gt;G$260,G$260,IF(G$259&lt;G$261,G$261,G$259)),IF(G$259&gt;G$262,G$262,IF(G$259&lt;G$263,G$263,G$259)))</f>
        <v>4.33</v>
      </c>
      <c r="H264" s="1253">
        <f t="shared" ref="H264:Q264" si="342">IF($F141&lt;=10000000,IF(H$259&gt;H$260,H$260,IF(H$259&lt;H$261,H$261,H$259)),IF(H$259&gt;H$262,H$262,IF(H$259&lt;H$263,H$263,H$259)))</f>
        <v>4.33</v>
      </c>
      <c r="I264" s="1253">
        <f t="shared" si="342"/>
        <v>4.33</v>
      </c>
      <c r="J264" s="1253">
        <f t="shared" ref="J264:L264" si="343">IF($F141&lt;=10000000,IF(J$259&gt;J$260,J$260,IF(J$259&lt;J$261,J$261,J$259)),IF(J$259&gt;J$262,J$262,IF(J$259&lt;J$263,J$263,J$259)))</f>
        <v>4.33</v>
      </c>
      <c r="K264" s="1253">
        <f t="shared" si="343"/>
        <v>4.33</v>
      </c>
      <c r="L264" s="1253">
        <f t="shared" si="343"/>
        <v>4.33</v>
      </c>
      <c r="M264" s="1253">
        <f t="shared" si="342"/>
        <v>4.33</v>
      </c>
      <c r="N264" s="1253">
        <f t="shared" si="342"/>
        <v>4.33</v>
      </c>
      <c r="O264" s="1253">
        <f t="shared" si="342"/>
        <v>3.25</v>
      </c>
      <c r="P264" s="1253">
        <f t="shared" si="342"/>
        <v>3.25</v>
      </c>
      <c r="Q264" s="1253">
        <f t="shared" si="342"/>
        <v>3.25</v>
      </c>
    </row>
    <row r="265" spans="1:17" s="889" customFormat="1" ht="15" hidden="1" customHeight="1" thickBot="1">
      <c r="A265" s="2799" t="s">
        <v>2687</v>
      </c>
      <c r="B265" s="2800"/>
      <c r="C265" s="2800"/>
      <c r="D265" s="2800"/>
      <c r="E265" s="2800"/>
      <c r="F265" s="2801"/>
      <c r="G265" s="1254">
        <f>ROUND(G264*IF(AND(G89="駅施設",G90="無し"),0.7,IF(AND(G89="駅施設",G90="有り"),0.7,IF(AND(G89="地上建物",G90="無し"),0.9,IF(AND(G89="地上建物",G90="有り"),1,0)))),2)</f>
        <v>3.03</v>
      </c>
      <c r="H265" s="1254">
        <f t="shared" ref="H265:Q265" si="344">ROUND(H264*IF(AND(H89="駅施設",H90="無し"),0.7,IF(AND(H89="駅施設",H90="有り"),0.7,IF(AND(H89="地上建物",H90="無し"),0.9,IF(AND(H89="地上建物",H90="有り"),1,0)))),2)</f>
        <v>3.03</v>
      </c>
      <c r="I265" s="1254">
        <f t="shared" si="344"/>
        <v>3.03</v>
      </c>
      <c r="J265" s="1254">
        <f t="shared" ref="J265:L265" si="345">ROUND(J264*IF(AND(J89="駅施設",J90="無し"),0.7,IF(AND(J89="駅施設",J90="有り"),0.7,IF(AND(J89="地上建物",J90="無し"),0.9,IF(AND(J89="地上建物",J90="有り"),1,0)))),2)</f>
        <v>3.03</v>
      </c>
      <c r="K265" s="1254">
        <f t="shared" si="345"/>
        <v>3.03</v>
      </c>
      <c r="L265" s="1254">
        <f t="shared" si="345"/>
        <v>3.03</v>
      </c>
      <c r="M265" s="1254">
        <f t="shared" si="344"/>
        <v>3.03</v>
      </c>
      <c r="N265" s="1254">
        <f t="shared" si="344"/>
        <v>3.03</v>
      </c>
      <c r="O265" s="1254">
        <f t="shared" si="344"/>
        <v>2.2799999999999998</v>
      </c>
      <c r="P265" s="1254">
        <f t="shared" si="344"/>
        <v>2.2799999999999998</v>
      </c>
      <c r="Q265" s="1254">
        <f t="shared" si="344"/>
        <v>2.2799999999999998</v>
      </c>
    </row>
    <row r="266" spans="1:17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  <c r="O266" s="1255"/>
      <c r="P266" s="1255"/>
      <c r="Q266" s="1255"/>
    </row>
    <row r="267" spans="1:17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Q267" si="346">+G84</f>
        <v>16.600000000000001</v>
      </c>
      <c r="H267" s="1243">
        <f t="shared" si="346"/>
        <v>11</v>
      </c>
      <c r="I267" s="1243">
        <f t="shared" si="346"/>
        <v>16.600000000000001</v>
      </c>
      <c r="J267" s="1243">
        <f t="shared" ref="J267:L267" si="347">+J84</f>
        <v>16.600000000000001</v>
      </c>
      <c r="K267" s="1243">
        <f t="shared" si="347"/>
        <v>16.600000000000001</v>
      </c>
      <c r="L267" s="1243">
        <f t="shared" si="347"/>
        <v>16.600000000000001</v>
      </c>
      <c r="M267" s="1243">
        <f t="shared" si="346"/>
        <v>11</v>
      </c>
      <c r="N267" s="1243">
        <f t="shared" si="346"/>
        <v>16.600000000000001</v>
      </c>
      <c r="O267" s="1243">
        <f t="shared" si="346"/>
        <v>0</v>
      </c>
      <c r="P267" s="1243">
        <f t="shared" si="346"/>
        <v>0</v>
      </c>
      <c r="Q267" s="1244">
        <f t="shared" si="346"/>
        <v>0</v>
      </c>
    </row>
    <row r="268" spans="1:17" s="889" customFormat="1" ht="15" hidden="1" customHeight="1">
      <c r="A268" s="2802"/>
      <c r="B268" s="2805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9.92</v>
      </c>
      <c r="H268" s="1248">
        <f t="shared" ref="H268:Q268" si="348">IF($F141&lt;=5000000,ROUND(18.03*(5000^-0.2027)*(H267^0.4017),2),ROUND(18.03*(($F141/1000)^-0.2027)*(H267^0.4017),2))</f>
        <v>8.41</v>
      </c>
      <c r="I268" s="1248">
        <f t="shared" si="348"/>
        <v>9.92</v>
      </c>
      <c r="J268" s="1248">
        <f t="shared" ref="J268:L268" si="349">IF($F141&lt;=5000000,ROUND(18.03*(5000^-0.2027)*(J267^0.4017),2),ROUND(18.03*(($F141/1000)^-0.2027)*(J267^0.4017),2))</f>
        <v>9.92</v>
      </c>
      <c r="K268" s="1248">
        <f t="shared" si="349"/>
        <v>9.92</v>
      </c>
      <c r="L268" s="1248">
        <f t="shared" si="349"/>
        <v>9.92</v>
      </c>
      <c r="M268" s="1248">
        <f t="shared" si="348"/>
        <v>8.41</v>
      </c>
      <c r="N268" s="1248">
        <f t="shared" si="348"/>
        <v>9.92</v>
      </c>
      <c r="O268" s="1248">
        <f t="shared" si="348"/>
        <v>0</v>
      </c>
      <c r="P268" s="1248">
        <f t="shared" si="348"/>
        <v>0</v>
      </c>
      <c r="Q268" s="1248">
        <f t="shared" si="348"/>
        <v>0</v>
      </c>
    </row>
    <row r="269" spans="1:17" s="889" customFormat="1" ht="15" hidden="1" customHeight="1">
      <c r="A269" s="2803"/>
      <c r="B269" s="2806"/>
      <c r="C269" s="2808" t="s">
        <v>2690</v>
      </c>
      <c r="D269" s="1124"/>
      <c r="E269" s="1249"/>
      <c r="F269" s="1247" t="s">
        <v>2683</v>
      </c>
      <c r="G269" s="1250">
        <f>IF($F141&lt;=5000000,ROUND(6.07,2),0)</f>
        <v>6.07</v>
      </c>
      <c r="H269" s="1250">
        <f t="shared" ref="H269:Q269" si="350">IF($F141&lt;=5000000,ROUND(6.07,2),0)</f>
        <v>6.07</v>
      </c>
      <c r="I269" s="1250">
        <f t="shared" si="350"/>
        <v>6.07</v>
      </c>
      <c r="J269" s="1250">
        <f t="shared" ref="J269:L269" si="351">IF($F141&lt;=5000000,ROUND(6.07,2),0)</f>
        <v>6.07</v>
      </c>
      <c r="K269" s="1250">
        <f t="shared" si="351"/>
        <v>6.07</v>
      </c>
      <c r="L269" s="1250">
        <f t="shared" si="351"/>
        <v>6.07</v>
      </c>
      <c r="M269" s="1250">
        <f t="shared" si="350"/>
        <v>6.07</v>
      </c>
      <c r="N269" s="1250">
        <f t="shared" si="350"/>
        <v>6.07</v>
      </c>
      <c r="O269" s="1250">
        <f t="shared" si="350"/>
        <v>6.07</v>
      </c>
      <c r="P269" s="1250">
        <f t="shared" si="350"/>
        <v>6.07</v>
      </c>
      <c r="Q269" s="1250">
        <f t="shared" si="350"/>
        <v>6.07</v>
      </c>
    </row>
    <row r="270" spans="1:17" s="889" customFormat="1" ht="15" hidden="1" customHeight="1">
      <c r="A270" s="2803"/>
      <c r="B270" s="2806"/>
      <c r="C270" s="2809"/>
      <c r="D270" s="1251"/>
      <c r="E270" s="1252"/>
      <c r="F270" s="1247" t="s">
        <v>2684</v>
      </c>
      <c r="G270" s="1250">
        <f>IF($F141&lt;=5000000,ROUND(3.59,2),0)</f>
        <v>3.59</v>
      </c>
      <c r="H270" s="1250">
        <f t="shared" ref="H270:Q270" si="352">IF($F141&lt;=5000000,ROUND(3.59,2),0)</f>
        <v>3.59</v>
      </c>
      <c r="I270" s="1250">
        <f t="shared" si="352"/>
        <v>3.59</v>
      </c>
      <c r="J270" s="1250">
        <f t="shared" ref="J270:L270" si="353">IF($F141&lt;=5000000,ROUND(3.59,2),0)</f>
        <v>3.59</v>
      </c>
      <c r="K270" s="1250">
        <f t="shared" si="353"/>
        <v>3.59</v>
      </c>
      <c r="L270" s="1250">
        <f t="shared" si="353"/>
        <v>3.59</v>
      </c>
      <c r="M270" s="1250">
        <f t="shared" si="352"/>
        <v>3.59</v>
      </c>
      <c r="N270" s="1250">
        <f t="shared" si="352"/>
        <v>3.59</v>
      </c>
      <c r="O270" s="1250">
        <f t="shared" si="352"/>
        <v>3.59</v>
      </c>
      <c r="P270" s="1250">
        <f t="shared" si="352"/>
        <v>3.59</v>
      </c>
      <c r="Q270" s="1250">
        <f t="shared" si="352"/>
        <v>3.59</v>
      </c>
    </row>
    <row r="271" spans="1:17" s="889" customFormat="1" ht="15" hidden="1" customHeight="1">
      <c r="A271" s="2803"/>
      <c r="B271" s="2806"/>
      <c r="C271" s="2808" t="s">
        <v>2691</v>
      </c>
      <c r="D271" s="1124"/>
      <c r="E271" s="1249"/>
      <c r="F271" s="1247" t="s">
        <v>2683</v>
      </c>
      <c r="G271" s="1253">
        <f>IF($F141&gt;5000000,ROUND(11.74*($F141/1000)^-0.0774,2),0)</f>
        <v>0</v>
      </c>
      <c r="H271" s="1253">
        <f t="shared" ref="H271:Q271" si="354">IF($F141&gt;5000000,ROUND(11.74*($F141/1000)^-0.0774,2),0)</f>
        <v>0</v>
      </c>
      <c r="I271" s="1253">
        <f t="shared" si="354"/>
        <v>0</v>
      </c>
      <c r="J271" s="1253">
        <f t="shared" ref="J271:L271" si="355">IF($F141&gt;5000000,ROUND(11.74*($F141/1000)^-0.0774,2),0)</f>
        <v>0</v>
      </c>
      <c r="K271" s="1253">
        <f t="shared" si="355"/>
        <v>0</v>
      </c>
      <c r="L271" s="1253">
        <f t="shared" si="355"/>
        <v>0</v>
      </c>
      <c r="M271" s="1253">
        <f t="shared" si="354"/>
        <v>0</v>
      </c>
      <c r="N271" s="1253">
        <f t="shared" si="354"/>
        <v>0</v>
      </c>
      <c r="O271" s="1253">
        <f t="shared" si="354"/>
        <v>0</v>
      </c>
      <c r="P271" s="1253">
        <f t="shared" si="354"/>
        <v>0</v>
      </c>
      <c r="Q271" s="1253">
        <f t="shared" si="354"/>
        <v>0</v>
      </c>
    </row>
    <row r="272" spans="1:17" s="889" customFormat="1" ht="15" hidden="1" customHeight="1">
      <c r="A272" s="2804"/>
      <c r="B272" s="2807"/>
      <c r="C272" s="2809"/>
      <c r="D272" s="1251"/>
      <c r="E272" s="1252"/>
      <c r="F272" s="1247" t="s">
        <v>2684</v>
      </c>
      <c r="G272" s="1253">
        <f>IF($F141&gt;5000000,ROUND(6.94*($F141/1000)^-0.0774,2),0)</f>
        <v>0</v>
      </c>
      <c r="H272" s="1253">
        <f t="shared" ref="H272:Q272" si="356">IF($F141&gt;5000000,ROUND(6.94*($F141/1000)^-0.0774,2),0)</f>
        <v>0</v>
      </c>
      <c r="I272" s="1253">
        <f t="shared" si="356"/>
        <v>0</v>
      </c>
      <c r="J272" s="1253">
        <f t="shared" ref="J272:L272" si="357">IF($F141&gt;5000000,ROUND(6.94*($F141/1000)^-0.0774,2),0)</f>
        <v>0</v>
      </c>
      <c r="K272" s="1253">
        <f t="shared" si="357"/>
        <v>0</v>
      </c>
      <c r="L272" s="1253">
        <f t="shared" si="357"/>
        <v>0</v>
      </c>
      <c r="M272" s="1253">
        <f t="shared" si="356"/>
        <v>0</v>
      </c>
      <c r="N272" s="1253">
        <f t="shared" si="356"/>
        <v>0</v>
      </c>
      <c r="O272" s="1253">
        <f t="shared" si="356"/>
        <v>0</v>
      </c>
      <c r="P272" s="1253">
        <f t="shared" si="356"/>
        <v>0</v>
      </c>
      <c r="Q272" s="1253">
        <f t="shared" si="356"/>
        <v>0</v>
      </c>
    </row>
    <row r="273" spans="1:17" s="889" customFormat="1" ht="15" hidden="1" customHeight="1">
      <c r="A273" s="2796" t="s">
        <v>2686</v>
      </c>
      <c r="B273" s="2797"/>
      <c r="C273" s="2797"/>
      <c r="D273" s="2797"/>
      <c r="E273" s="2797"/>
      <c r="F273" s="2798"/>
      <c r="G273" s="1256">
        <f>IF($F141&lt;=5000000,IF(G$268&gt;G$269,G$269,IF(G$268&lt;G$270,G$270,G$268)),IF(G$268&gt;G$271,G$271,IF(G$268&lt;G$272,G$272,G$268)))</f>
        <v>6.07</v>
      </c>
      <c r="H273" s="1256">
        <f t="shared" ref="H273:Q273" si="358">IF($F141&lt;=5000000,IF(H$268&gt;H$269,H$269,IF(H$268&lt;H$270,H$270,H$268)),IF(H$268&gt;H$271,H$271,IF(H$268&lt;H$272,H$272,H$268)))</f>
        <v>6.07</v>
      </c>
      <c r="I273" s="1256">
        <f t="shared" si="358"/>
        <v>6.07</v>
      </c>
      <c r="J273" s="1256">
        <f t="shared" ref="J273:L273" si="359">IF($F141&lt;=5000000,IF(J$268&gt;J$269,J$269,IF(J$268&lt;J$270,J$270,J$268)),IF(J$268&gt;J$271,J$271,IF(J$268&lt;J$272,J$272,J$268)))</f>
        <v>6.07</v>
      </c>
      <c r="K273" s="1256">
        <f t="shared" si="359"/>
        <v>6.07</v>
      </c>
      <c r="L273" s="1256">
        <f t="shared" si="359"/>
        <v>6.07</v>
      </c>
      <c r="M273" s="1256">
        <f t="shared" si="358"/>
        <v>6.07</v>
      </c>
      <c r="N273" s="1256">
        <f t="shared" si="358"/>
        <v>6.07</v>
      </c>
      <c r="O273" s="1256">
        <f t="shared" si="358"/>
        <v>3.59</v>
      </c>
      <c r="P273" s="1256">
        <f t="shared" si="358"/>
        <v>3.59</v>
      </c>
      <c r="Q273" s="1256">
        <f t="shared" si="358"/>
        <v>3.59</v>
      </c>
    </row>
    <row r="274" spans="1:17" s="889" customFormat="1" ht="15" hidden="1" customHeight="1" thickBot="1">
      <c r="A274" s="2799" t="s">
        <v>2687</v>
      </c>
      <c r="B274" s="2800"/>
      <c r="C274" s="2800"/>
      <c r="D274" s="2800"/>
      <c r="E274" s="2800"/>
      <c r="F274" s="2801"/>
      <c r="G274" s="1254">
        <f>ROUND(G273*IF(AND(G89="駅施設",G90="無し"),0.7,IF(AND(G89="駅施設",G90="有り"),0.7,IF(AND(G89="地上建物",G90="無し"),0.9,IF(AND(G89="地上建物",G90="有り"),1,0)))),2)</f>
        <v>4.25</v>
      </c>
      <c r="H274" s="1254">
        <f t="shared" ref="H274:Q274" si="360">ROUND(H273*IF(AND(H89="駅施設",H90="無し"),0.7,IF(AND(H89="駅施設",H90="有り"),0.7,IF(AND(H89="地上建物",H90="無し"),0.9,IF(AND(H89="地上建物",H90="有り"),1,0)))),2)</f>
        <v>4.25</v>
      </c>
      <c r="I274" s="1254">
        <f t="shared" si="360"/>
        <v>4.25</v>
      </c>
      <c r="J274" s="1254">
        <f t="shared" ref="J274:L274" si="361">ROUND(J273*IF(AND(J89="駅施設",J90="無し"),0.7,IF(AND(J89="駅施設",J90="有り"),0.7,IF(AND(J89="地上建物",J90="無し"),0.9,IF(AND(J89="地上建物",J90="有り"),1,0)))),2)</f>
        <v>4.25</v>
      </c>
      <c r="K274" s="1254">
        <f t="shared" si="361"/>
        <v>4.25</v>
      </c>
      <c r="L274" s="1254">
        <f t="shared" si="361"/>
        <v>4.25</v>
      </c>
      <c r="M274" s="1254">
        <f t="shared" si="360"/>
        <v>4.25</v>
      </c>
      <c r="N274" s="1254">
        <f t="shared" si="360"/>
        <v>4.25</v>
      </c>
      <c r="O274" s="1254">
        <f t="shared" si="360"/>
        <v>2.5099999999999998</v>
      </c>
      <c r="P274" s="1254">
        <f t="shared" si="360"/>
        <v>2.5099999999999998</v>
      </c>
      <c r="Q274" s="1254">
        <f t="shared" si="360"/>
        <v>2.5099999999999998</v>
      </c>
    </row>
    <row r="275" spans="1:17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  <c r="O275" s="1237"/>
      <c r="P275" s="1237"/>
      <c r="Q275" s="1237"/>
    </row>
    <row r="276" spans="1:17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Q276" si="362">+H284</f>
        <v>11</v>
      </c>
      <c r="I276" s="1243">
        <f t="shared" si="362"/>
        <v>16.600000000000001</v>
      </c>
      <c r="J276" s="1243">
        <f t="shared" ref="J276" si="363">+J284</f>
        <v>16.600000000000001</v>
      </c>
      <c r="K276" s="1243">
        <f>+K284</f>
        <v>16.600000000000001</v>
      </c>
      <c r="L276" s="1243">
        <f t="shared" ref="L276" si="364">+L284</f>
        <v>16.600000000000001</v>
      </c>
      <c r="M276" s="1243">
        <f t="shared" si="362"/>
        <v>11</v>
      </c>
      <c r="N276" s="1243">
        <f>+N284</f>
        <v>16.600000000000001</v>
      </c>
      <c r="O276" s="1243">
        <f t="shared" si="362"/>
        <v>0</v>
      </c>
      <c r="P276" s="1243">
        <f t="shared" si="362"/>
        <v>0</v>
      </c>
      <c r="Q276" s="1244">
        <f t="shared" si="362"/>
        <v>0</v>
      </c>
    </row>
    <row r="277" spans="1:17" s="889" customFormat="1" ht="15" hidden="1" customHeight="1">
      <c r="A277" s="2802"/>
      <c r="B277" s="2805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34.340000000000003</v>
      </c>
      <c r="H277" s="1248">
        <f t="shared" ref="H277:Q277" si="365">IF($F180&lt;=10000000,ROUND(151.08*((10000)^-0.3396)*(H276^0.586),2),ROUND(151.08*(($F180/1000)^-0.3396)*(H276^0.586),2))</f>
        <v>26.98</v>
      </c>
      <c r="I277" s="1248">
        <f t="shared" si="365"/>
        <v>34.340000000000003</v>
      </c>
      <c r="J277" s="1248">
        <f t="shared" ref="J277:L277" si="366">IF($F180&lt;=10000000,ROUND(151.08*((10000)^-0.3396)*(J276^0.586),2),ROUND(151.08*(($F180/1000)^-0.3396)*(J276^0.586),2))</f>
        <v>34.340000000000003</v>
      </c>
      <c r="K277" s="1248">
        <f t="shared" si="366"/>
        <v>34.340000000000003</v>
      </c>
      <c r="L277" s="1248">
        <f t="shared" si="366"/>
        <v>34.340000000000003</v>
      </c>
      <c r="M277" s="1248">
        <f t="shared" si="365"/>
        <v>26.98</v>
      </c>
      <c r="N277" s="1248">
        <f t="shared" si="365"/>
        <v>34.340000000000003</v>
      </c>
      <c r="O277" s="1248">
        <f t="shared" si="365"/>
        <v>0</v>
      </c>
      <c r="P277" s="1248">
        <f t="shared" si="365"/>
        <v>0</v>
      </c>
      <c r="Q277" s="1248">
        <f t="shared" si="365"/>
        <v>0</v>
      </c>
    </row>
    <row r="278" spans="1:17" s="889" customFormat="1" ht="15" hidden="1" customHeight="1">
      <c r="A278" s="2803"/>
      <c r="B278" s="2806"/>
      <c r="C278" s="2808" t="s">
        <v>2695</v>
      </c>
      <c r="D278" s="1124"/>
      <c r="E278" s="1249"/>
      <c r="F278" s="1247" t="s">
        <v>2683</v>
      </c>
      <c r="G278" s="1250">
        <f>IF($F180&lt;=10000000,ROUND(20.13,2),0)</f>
        <v>20.13</v>
      </c>
      <c r="H278" s="1250">
        <f t="shared" ref="H278:Q278" si="367">IF($F180&lt;=10000000,ROUND(20.13,2),0)</f>
        <v>20.13</v>
      </c>
      <c r="I278" s="1250">
        <f t="shared" si="367"/>
        <v>20.13</v>
      </c>
      <c r="J278" s="1250">
        <f t="shared" ref="J278:L278" si="368">IF($F180&lt;=10000000,ROUND(20.13,2),0)</f>
        <v>20.13</v>
      </c>
      <c r="K278" s="1250">
        <f t="shared" si="368"/>
        <v>20.13</v>
      </c>
      <c r="L278" s="1250">
        <f t="shared" si="368"/>
        <v>20.13</v>
      </c>
      <c r="M278" s="1250">
        <f t="shared" si="367"/>
        <v>20.13</v>
      </c>
      <c r="N278" s="1250">
        <f t="shared" si="367"/>
        <v>20.13</v>
      </c>
      <c r="O278" s="1250">
        <f t="shared" si="367"/>
        <v>20.13</v>
      </c>
      <c r="P278" s="1250">
        <f t="shared" si="367"/>
        <v>20.13</v>
      </c>
      <c r="Q278" s="1250">
        <f t="shared" si="367"/>
        <v>20.13</v>
      </c>
    </row>
    <row r="279" spans="1:17" s="889" customFormat="1" ht="15" hidden="1" customHeight="1">
      <c r="A279" s="2803"/>
      <c r="B279" s="2806"/>
      <c r="C279" s="2809"/>
      <c r="D279" s="1251"/>
      <c r="E279" s="1252"/>
      <c r="F279" s="1247" t="s">
        <v>2684</v>
      </c>
      <c r="G279" s="1250">
        <f>IF($F180&lt;=10000000,ROUND(10.01,2),0)</f>
        <v>10.01</v>
      </c>
      <c r="H279" s="1250">
        <f t="shared" ref="H279:Q279" si="369">IF($F180&lt;=10000000,ROUND(10.01,2),0)</f>
        <v>10.01</v>
      </c>
      <c r="I279" s="1250">
        <f t="shared" si="369"/>
        <v>10.01</v>
      </c>
      <c r="J279" s="1250">
        <f t="shared" ref="J279:L279" si="370">IF($F180&lt;=10000000,ROUND(10.01,2),0)</f>
        <v>10.01</v>
      </c>
      <c r="K279" s="1250">
        <f t="shared" si="370"/>
        <v>10.01</v>
      </c>
      <c r="L279" s="1250">
        <f t="shared" si="370"/>
        <v>10.01</v>
      </c>
      <c r="M279" s="1250">
        <f t="shared" si="369"/>
        <v>10.01</v>
      </c>
      <c r="N279" s="1250">
        <f t="shared" si="369"/>
        <v>10.01</v>
      </c>
      <c r="O279" s="1250">
        <f t="shared" si="369"/>
        <v>10.01</v>
      </c>
      <c r="P279" s="1250">
        <f t="shared" si="369"/>
        <v>10.01</v>
      </c>
      <c r="Q279" s="1250">
        <f t="shared" si="369"/>
        <v>10.01</v>
      </c>
    </row>
    <row r="280" spans="1:17" s="889" customFormat="1" ht="15" hidden="1" customHeight="1">
      <c r="A280" s="2803"/>
      <c r="B280" s="2806"/>
      <c r="C280" s="2808" t="s">
        <v>2696</v>
      </c>
      <c r="D280" s="1124"/>
      <c r="E280" s="1249"/>
      <c r="F280" s="1247" t="s">
        <v>2683</v>
      </c>
      <c r="G280" s="1253">
        <f>IF($F180&gt;10000000,ROUND(75.97*($F180/1000)^-0.1442,2),0)</f>
        <v>0</v>
      </c>
      <c r="H280" s="1253">
        <f t="shared" ref="H280:Q280" si="371">IF($F180&gt;10000000,ROUND(75.97*($F180/1000)^-0.1442,2),0)</f>
        <v>0</v>
      </c>
      <c r="I280" s="1253">
        <f t="shared" si="371"/>
        <v>0</v>
      </c>
      <c r="J280" s="1253">
        <f t="shared" ref="J280:L280" si="372">IF($F180&gt;10000000,ROUND(75.97*($F180/1000)^-0.1442,2),0)</f>
        <v>0</v>
      </c>
      <c r="K280" s="1253">
        <f t="shared" si="372"/>
        <v>0</v>
      </c>
      <c r="L280" s="1253">
        <f t="shared" si="372"/>
        <v>0</v>
      </c>
      <c r="M280" s="1253">
        <f t="shared" si="371"/>
        <v>0</v>
      </c>
      <c r="N280" s="1253">
        <f t="shared" si="371"/>
        <v>0</v>
      </c>
      <c r="O280" s="1253">
        <f t="shared" si="371"/>
        <v>0</v>
      </c>
      <c r="P280" s="1253">
        <f t="shared" si="371"/>
        <v>0</v>
      </c>
      <c r="Q280" s="1253">
        <f t="shared" si="371"/>
        <v>0</v>
      </c>
    </row>
    <row r="281" spans="1:17" s="889" customFormat="1" ht="15" hidden="1" customHeight="1">
      <c r="A281" s="2804"/>
      <c r="B281" s="2807"/>
      <c r="C281" s="2809"/>
      <c r="D281" s="1251"/>
      <c r="E281" s="1252"/>
      <c r="F281" s="1247" t="s">
        <v>2684</v>
      </c>
      <c r="G281" s="1253">
        <f>IF($F180&gt;10000000,ROUND(37.76*($F180/1000)^-0.1442,2),0)</f>
        <v>0</v>
      </c>
      <c r="H281" s="1253">
        <f t="shared" ref="H281:Q281" si="373">IF($F180&gt;10000000,ROUND(37.76*($F180/1000)^-0.1442,2),0)</f>
        <v>0</v>
      </c>
      <c r="I281" s="1253">
        <f t="shared" si="373"/>
        <v>0</v>
      </c>
      <c r="J281" s="1253">
        <f t="shared" ref="J281:L281" si="374">IF($F180&gt;10000000,ROUND(37.76*($F180/1000)^-0.1442,2),0)</f>
        <v>0</v>
      </c>
      <c r="K281" s="1253">
        <f t="shared" si="374"/>
        <v>0</v>
      </c>
      <c r="L281" s="1253">
        <f t="shared" si="374"/>
        <v>0</v>
      </c>
      <c r="M281" s="1253">
        <f t="shared" si="373"/>
        <v>0</v>
      </c>
      <c r="N281" s="1253">
        <f t="shared" si="373"/>
        <v>0</v>
      </c>
      <c r="O281" s="1253">
        <f t="shared" si="373"/>
        <v>0</v>
      </c>
      <c r="P281" s="1253">
        <f t="shared" si="373"/>
        <v>0</v>
      </c>
      <c r="Q281" s="1253">
        <f t="shared" si="373"/>
        <v>0</v>
      </c>
    </row>
    <row r="282" spans="1:17" s="889" customFormat="1" ht="15" hidden="1" customHeight="1" thickBot="1">
      <c r="A282" s="2811" t="s">
        <v>2697</v>
      </c>
      <c r="B282" s="2812"/>
      <c r="C282" s="2812"/>
      <c r="D282" s="2812"/>
      <c r="E282" s="1257"/>
      <c r="F282" s="1258"/>
      <c r="G282" s="1259">
        <f>IF($F180&lt;=10000000,IF(G$277&gt;G$278,G$278,IF(G$277&lt;G$279,G$279,G$277)),IF(G$277&gt;G$280,G$280,IF(G$277&lt;G$281,G$281,G$277)))</f>
        <v>20.13</v>
      </c>
      <c r="H282" s="1259">
        <f t="shared" ref="H282:Q282" si="375">IF($F180&lt;=10000000,IF(H$277&gt;H$278,H$278,IF(H$277&lt;H$279,H$279,H$277)),IF(H$277&gt;H$280,H$280,IF(H$277&lt;H$281,H$281,H$277)))</f>
        <v>20.13</v>
      </c>
      <c r="I282" s="1259">
        <f t="shared" si="375"/>
        <v>20.13</v>
      </c>
      <c r="J282" s="1259">
        <f t="shared" ref="J282:L282" si="376">IF($F180&lt;=10000000,IF(J$277&gt;J$278,J$278,IF(J$277&lt;J$279,J$279,J$277)),IF(J$277&gt;J$280,J$280,IF(J$277&lt;J$281,J$281,J$277)))</f>
        <v>20.13</v>
      </c>
      <c r="K282" s="1259">
        <f t="shared" si="376"/>
        <v>20.13</v>
      </c>
      <c r="L282" s="1259">
        <f t="shared" si="376"/>
        <v>20.13</v>
      </c>
      <c r="M282" s="1259">
        <f t="shared" si="375"/>
        <v>20.13</v>
      </c>
      <c r="N282" s="1259">
        <f t="shared" si="375"/>
        <v>20.13</v>
      </c>
      <c r="O282" s="1259">
        <f t="shared" si="375"/>
        <v>10.01</v>
      </c>
      <c r="P282" s="1259">
        <f t="shared" si="375"/>
        <v>10.01</v>
      </c>
      <c r="Q282" s="1259">
        <f t="shared" si="375"/>
        <v>10.01</v>
      </c>
    </row>
    <row r="283" spans="1:17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  <c r="O283" s="1255"/>
      <c r="P283" s="1255"/>
      <c r="Q283" s="1255"/>
    </row>
    <row r="284" spans="1:17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Q284" si="377">+G84</f>
        <v>16.600000000000001</v>
      </c>
      <c r="H284" s="1243">
        <f t="shared" si="377"/>
        <v>11</v>
      </c>
      <c r="I284" s="1243">
        <f t="shared" si="377"/>
        <v>16.600000000000001</v>
      </c>
      <c r="J284" s="1243">
        <f t="shared" ref="J284:L284" si="378">+J84</f>
        <v>16.600000000000001</v>
      </c>
      <c r="K284" s="1243">
        <f t="shared" si="378"/>
        <v>16.600000000000001</v>
      </c>
      <c r="L284" s="1243">
        <f t="shared" si="378"/>
        <v>16.600000000000001</v>
      </c>
      <c r="M284" s="1243">
        <f t="shared" si="377"/>
        <v>11</v>
      </c>
      <c r="N284" s="1243">
        <f t="shared" si="377"/>
        <v>16.600000000000001</v>
      </c>
      <c r="O284" s="1243">
        <f t="shared" si="377"/>
        <v>0</v>
      </c>
      <c r="P284" s="1243">
        <f t="shared" si="377"/>
        <v>0</v>
      </c>
      <c r="Q284" s="1244">
        <f t="shared" si="377"/>
        <v>0</v>
      </c>
    </row>
    <row r="285" spans="1:17" s="889" customFormat="1" ht="15" hidden="1" customHeight="1">
      <c r="A285" s="2802"/>
      <c r="B285" s="2805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55.49</v>
      </c>
      <c r="H285" s="1248">
        <f t="shared" ref="H285:Q285" si="379">IF($F180&lt;=5000000,ROUND(356.2*((5000)^-0.4085)*(H284^0.5766),2),ROUND(356.2*(($F180/1000)^-0.4085)*(H284^0.5766),2))</f>
        <v>43.77</v>
      </c>
      <c r="I285" s="1248">
        <f t="shared" si="379"/>
        <v>55.49</v>
      </c>
      <c r="J285" s="1248">
        <f t="shared" ref="J285:L285" si="380">IF($F180&lt;=5000000,ROUND(356.2*((5000)^-0.4085)*(J284^0.5766),2),ROUND(356.2*(($F180/1000)^-0.4085)*(J284^0.5766),2))</f>
        <v>55.49</v>
      </c>
      <c r="K285" s="1248">
        <f t="shared" si="380"/>
        <v>55.49</v>
      </c>
      <c r="L285" s="1248">
        <f t="shared" si="380"/>
        <v>55.49</v>
      </c>
      <c r="M285" s="1248">
        <f t="shared" si="379"/>
        <v>43.77</v>
      </c>
      <c r="N285" s="1248">
        <f t="shared" si="379"/>
        <v>55.49</v>
      </c>
      <c r="O285" s="1248">
        <f t="shared" si="379"/>
        <v>0</v>
      </c>
      <c r="P285" s="1248">
        <f t="shared" si="379"/>
        <v>0</v>
      </c>
      <c r="Q285" s="1248">
        <f t="shared" si="379"/>
        <v>0</v>
      </c>
    </row>
    <row r="286" spans="1:17" s="889" customFormat="1" ht="15" hidden="1" customHeight="1">
      <c r="A286" s="2803"/>
      <c r="B286" s="2806"/>
      <c r="C286" s="2808" t="s">
        <v>2698</v>
      </c>
      <c r="D286" s="1124"/>
      <c r="E286" s="1249"/>
      <c r="F286" s="1247" t="s">
        <v>2683</v>
      </c>
      <c r="G286" s="1250">
        <f>IF($F180&lt;=5000000,ROUND(26.86,2),0)</f>
        <v>26.86</v>
      </c>
      <c r="H286" s="1250">
        <f t="shared" ref="H286:Q286" si="381">IF($F180&lt;=5000000,ROUND(26.86,2),0)</f>
        <v>26.86</v>
      </c>
      <c r="I286" s="1250">
        <f t="shared" si="381"/>
        <v>26.86</v>
      </c>
      <c r="J286" s="1250">
        <f t="shared" ref="J286:L286" si="382">IF($F180&lt;=5000000,ROUND(26.86,2),0)</f>
        <v>26.86</v>
      </c>
      <c r="K286" s="1250">
        <f t="shared" si="382"/>
        <v>26.86</v>
      </c>
      <c r="L286" s="1250">
        <f t="shared" si="382"/>
        <v>26.86</v>
      </c>
      <c r="M286" s="1250">
        <f t="shared" si="381"/>
        <v>26.86</v>
      </c>
      <c r="N286" s="1250">
        <f t="shared" si="381"/>
        <v>26.86</v>
      </c>
      <c r="O286" s="1250">
        <f t="shared" si="381"/>
        <v>26.86</v>
      </c>
      <c r="P286" s="1250">
        <f t="shared" si="381"/>
        <v>26.86</v>
      </c>
      <c r="Q286" s="1250">
        <f t="shared" si="381"/>
        <v>26.86</v>
      </c>
    </row>
    <row r="287" spans="1:17" s="889" customFormat="1" ht="15" hidden="1" customHeight="1">
      <c r="A287" s="2803"/>
      <c r="B287" s="2806"/>
      <c r="C287" s="2809"/>
      <c r="D287" s="1251"/>
      <c r="E287" s="1252"/>
      <c r="F287" s="1247" t="s">
        <v>2684</v>
      </c>
      <c r="G287" s="1250">
        <f>IF($F180&lt;=5000000,ROUND(12.7,2),0)</f>
        <v>12.7</v>
      </c>
      <c r="H287" s="1250">
        <f t="shared" ref="H287:Q287" si="383">IF($F180&lt;=5000000,ROUND(12.7,2),0)</f>
        <v>12.7</v>
      </c>
      <c r="I287" s="1250">
        <f t="shared" si="383"/>
        <v>12.7</v>
      </c>
      <c r="J287" s="1250">
        <f t="shared" ref="J287:L287" si="384">IF($F180&lt;=5000000,ROUND(12.7,2),0)</f>
        <v>12.7</v>
      </c>
      <c r="K287" s="1250">
        <f t="shared" si="384"/>
        <v>12.7</v>
      </c>
      <c r="L287" s="1250">
        <f t="shared" si="384"/>
        <v>12.7</v>
      </c>
      <c r="M287" s="1250">
        <f t="shared" si="383"/>
        <v>12.7</v>
      </c>
      <c r="N287" s="1250">
        <f t="shared" si="383"/>
        <v>12.7</v>
      </c>
      <c r="O287" s="1250">
        <f t="shared" si="383"/>
        <v>12.7</v>
      </c>
      <c r="P287" s="1250">
        <f t="shared" si="383"/>
        <v>12.7</v>
      </c>
      <c r="Q287" s="1250">
        <f t="shared" si="383"/>
        <v>12.7</v>
      </c>
    </row>
    <row r="288" spans="1:17" s="889" customFormat="1" ht="15" hidden="1" customHeight="1">
      <c r="A288" s="2803"/>
      <c r="B288" s="2806"/>
      <c r="C288" s="2808" t="s">
        <v>2699</v>
      </c>
      <c r="D288" s="1124"/>
      <c r="E288" s="1249"/>
      <c r="F288" s="1247" t="s">
        <v>2683</v>
      </c>
      <c r="G288" s="1253">
        <f>IF($F180&gt;5000000,ROUND(184.58*($F180/1000)^-0.2263,2),0)</f>
        <v>0</v>
      </c>
      <c r="H288" s="1253">
        <f t="shared" ref="H288:Q288" si="385">IF($F180&gt;5000000,ROUND(184.58*($F180/1000)^-0.2263,2),0)</f>
        <v>0</v>
      </c>
      <c r="I288" s="1253">
        <f t="shared" si="385"/>
        <v>0</v>
      </c>
      <c r="J288" s="1253">
        <f t="shared" ref="J288:L288" si="386">IF($F180&gt;5000000,ROUND(184.58*($F180/1000)^-0.2263,2),0)</f>
        <v>0</v>
      </c>
      <c r="K288" s="1253">
        <f t="shared" si="386"/>
        <v>0</v>
      </c>
      <c r="L288" s="1253">
        <f t="shared" si="386"/>
        <v>0</v>
      </c>
      <c r="M288" s="1253">
        <f t="shared" si="385"/>
        <v>0</v>
      </c>
      <c r="N288" s="1253">
        <f t="shared" si="385"/>
        <v>0</v>
      </c>
      <c r="O288" s="1253">
        <f t="shared" si="385"/>
        <v>0</v>
      </c>
      <c r="P288" s="1253">
        <f t="shared" si="385"/>
        <v>0</v>
      </c>
      <c r="Q288" s="1253">
        <f t="shared" si="385"/>
        <v>0</v>
      </c>
    </row>
    <row r="289" spans="1:17" s="889" customFormat="1" ht="15" hidden="1" customHeight="1">
      <c r="A289" s="2804"/>
      <c r="B289" s="2807"/>
      <c r="C289" s="2809"/>
      <c r="D289" s="1251"/>
      <c r="E289" s="1252"/>
      <c r="F289" s="1247" t="s">
        <v>2684</v>
      </c>
      <c r="G289" s="1253">
        <f>IF($F180&gt;5000000,ROUND(87.29*($F180/1000)^-0.2263,2),0)</f>
        <v>0</v>
      </c>
      <c r="H289" s="1253">
        <f t="shared" ref="H289:Q289" si="387">IF($F180&gt;5000000,ROUND(87.29*($F180/1000)^-0.2263,2),0)</f>
        <v>0</v>
      </c>
      <c r="I289" s="1253">
        <f t="shared" si="387"/>
        <v>0</v>
      </c>
      <c r="J289" s="1253">
        <f t="shared" ref="J289:L289" si="388">IF($F180&gt;5000000,ROUND(87.29*($F180/1000)^-0.2263,2),0)</f>
        <v>0</v>
      </c>
      <c r="K289" s="1253">
        <f t="shared" si="388"/>
        <v>0</v>
      </c>
      <c r="L289" s="1253">
        <f t="shared" si="388"/>
        <v>0</v>
      </c>
      <c r="M289" s="1253">
        <f t="shared" si="387"/>
        <v>0</v>
      </c>
      <c r="N289" s="1253">
        <f t="shared" si="387"/>
        <v>0</v>
      </c>
      <c r="O289" s="1253">
        <f t="shared" si="387"/>
        <v>0</v>
      </c>
      <c r="P289" s="1253">
        <f t="shared" si="387"/>
        <v>0</v>
      </c>
      <c r="Q289" s="1253">
        <f t="shared" si="387"/>
        <v>0</v>
      </c>
    </row>
    <row r="290" spans="1:17" s="889" customFormat="1" ht="15" hidden="1" customHeight="1" thickBot="1">
      <c r="A290" s="2811" t="s">
        <v>2697</v>
      </c>
      <c r="B290" s="2812"/>
      <c r="C290" s="2812"/>
      <c r="D290" s="2812"/>
      <c r="E290" s="1260"/>
      <c r="F290" s="1258"/>
      <c r="G290" s="1261">
        <f>IF($F180&lt;=5000000,IF(G$285&gt;G$286,G$286,IF(G$285&lt;G$287,G$287,G$285)),IF(G$285&gt;G$288,G$288,IF(G$285&lt;G$289,G$289,G$285)))</f>
        <v>26.86</v>
      </c>
      <c r="H290" s="1261">
        <f t="shared" ref="H290:Q290" si="389">IF($F180&lt;=5000000,IF(H$285&gt;H$286,H$286,IF(H$285&lt;H$287,H$287,H$285)),IF(H$285&gt;H$288,H$288,IF(H$285&lt;H$289,H$289,H$285)))</f>
        <v>26.86</v>
      </c>
      <c r="I290" s="1261">
        <f t="shared" si="389"/>
        <v>26.86</v>
      </c>
      <c r="J290" s="1261">
        <f t="shared" ref="J290:L290" si="390">IF($F180&lt;=5000000,IF(J$285&gt;J$286,J$286,IF(J$285&lt;J$287,J$287,J$285)),IF(J$285&gt;J$288,J$288,IF(J$285&lt;J$289,J$289,J$285)))</f>
        <v>26.86</v>
      </c>
      <c r="K290" s="1261">
        <f t="shared" si="390"/>
        <v>26.86</v>
      </c>
      <c r="L290" s="1261">
        <f t="shared" si="390"/>
        <v>26.86</v>
      </c>
      <c r="M290" s="1261">
        <f t="shared" si="389"/>
        <v>26.86</v>
      </c>
      <c r="N290" s="1261">
        <f t="shared" si="389"/>
        <v>26.86</v>
      </c>
      <c r="O290" s="1261">
        <f t="shared" si="389"/>
        <v>12.7</v>
      </c>
      <c r="P290" s="1261">
        <f t="shared" si="389"/>
        <v>12.7</v>
      </c>
      <c r="Q290" s="1261">
        <f t="shared" si="389"/>
        <v>12.7</v>
      </c>
    </row>
    <row r="291" spans="1:17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  <c r="O291" s="1237"/>
      <c r="P291" s="1237"/>
      <c r="Q291" s="1237"/>
    </row>
    <row r="292" spans="1:17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  <c r="O292" s="1264"/>
      <c r="P292" s="1264"/>
      <c r="Q292" s="1264"/>
    </row>
    <row r="293" spans="1:17" s="889" customFormat="1" ht="14.25" hidden="1" customHeight="1">
      <c r="A293" s="2802"/>
      <c r="B293" s="2805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11.1</v>
      </c>
      <c r="H293" s="1266"/>
      <c r="I293" s="1267"/>
      <c r="J293" s="1267"/>
      <c r="K293" s="1267"/>
      <c r="L293" s="1267"/>
      <c r="M293" s="1267"/>
      <c r="N293" s="1267"/>
      <c r="O293" s="1267"/>
      <c r="P293" s="1267"/>
      <c r="Q293" s="1267"/>
    </row>
    <row r="294" spans="1:17" s="889" customFormat="1" ht="14.25" hidden="1" customHeight="1">
      <c r="A294" s="2803"/>
      <c r="B294" s="2806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47"/>
      <c r="N294" s="1272"/>
      <c r="O294" s="1272"/>
      <c r="P294" s="1272"/>
      <c r="Q294" s="1272"/>
    </row>
    <row r="295" spans="1:17" s="889" customFormat="1" ht="15" hidden="1" customHeight="1">
      <c r="A295" s="2804"/>
      <c r="B295" s="2807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  <c r="O295" s="1274"/>
      <c r="P295" s="1274"/>
      <c r="Q295" s="1274"/>
    </row>
    <row r="296" spans="1:17" s="889" customFormat="1" ht="15" hidden="1" customHeight="1" thickBot="1">
      <c r="A296" s="2811" t="s">
        <v>2705</v>
      </c>
      <c r="B296" s="2812"/>
      <c r="C296" s="2812"/>
      <c r="D296" s="2812"/>
      <c r="E296" s="1260"/>
      <c r="F296" s="1258"/>
      <c r="G296" s="1275">
        <f>IF($F224&lt;=5000000,G294,IF($F224&gt;3000000000,G295,G293))</f>
        <v>11.1</v>
      </c>
      <c r="H296" s="1276"/>
      <c r="I296" s="1277"/>
      <c r="J296" s="1277"/>
      <c r="K296" s="1277"/>
      <c r="L296" s="1277"/>
      <c r="M296" s="1277"/>
      <c r="N296" s="1277"/>
      <c r="O296" s="1277"/>
      <c r="P296" s="1277"/>
      <c r="Q296" s="1277"/>
    </row>
    <row r="297" spans="1:17" ht="15" customHeight="1"/>
    <row r="298" spans="1:17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東梅田外１駅可動式ホーム柵設置に伴う建築その他工事</v>
      </c>
      <c r="G298" s="1028"/>
      <c r="H298" s="1029"/>
      <c r="I298" s="1030"/>
      <c r="J298" s="837"/>
      <c r="K298" s="837"/>
      <c r="L298" s="837"/>
      <c r="M298" s="837"/>
      <c r="N298" s="837"/>
      <c r="O298" s="837"/>
      <c r="P298" s="837"/>
      <c r="Q298" s="838" t="s">
        <v>2706</v>
      </c>
    </row>
    <row r="299" spans="1:17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7"/>
      <c r="N299" s="1037"/>
      <c r="O299" s="1037"/>
      <c r="P299" s="1034"/>
      <c r="Q299" s="1038"/>
    </row>
    <row r="300" spans="1:17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Q300" si="391">+G8</f>
        <v>16.600000000000001</v>
      </c>
      <c r="H300" s="876">
        <f t="shared" si="391"/>
        <v>11</v>
      </c>
      <c r="I300" s="876">
        <f t="shared" si="391"/>
        <v>16.600000000000001</v>
      </c>
      <c r="J300" s="876">
        <f t="shared" ref="J300:L300" si="392">+J8</f>
        <v>16.600000000000001</v>
      </c>
      <c r="K300" s="876">
        <f t="shared" si="392"/>
        <v>16.600000000000001</v>
      </c>
      <c r="L300" s="876">
        <f t="shared" si="392"/>
        <v>16.600000000000001</v>
      </c>
      <c r="M300" s="876">
        <f t="shared" si="391"/>
        <v>11</v>
      </c>
      <c r="N300" s="876">
        <f t="shared" si="391"/>
        <v>16.600000000000001</v>
      </c>
      <c r="O300" s="876">
        <f t="shared" si="391"/>
        <v>7.4</v>
      </c>
      <c r="P300" s="876">
        <f t="shared" si="391"/>
        <v>7.4</v>
      </c>
      <c r="Q300" s="877">
        <f t="shared" si="391"/>
        <v>0</v>
      </c>
    </row>
    <row r="301" spans="1:17" s="878" customFormat="1" ht="15" customHeight="1">
      <c r="A301" s="879"/>
      <c r="B301" s="880"/>
      <c r="C301" s="881" t="s">
        <v>2512</v>
      </c>
      <c r="D301" s="882"/>
      <c r="E301" s="883"/>
      <c r="F301" s="884" t="s">
        <v>2589</v>
      </c>
      <c r="G301" s="1280" t="str">
        <f t="shared" ref="G301:Q301" si="393">G85</f>
        <v>改修</v>
      </c>
      <c r="H301" s="1280" t="str">
        <f t="shared" si="393"/>
        <v>改修</v>
      </c>
      <c r="I301" s="1280" t="str">
        <f t="shared" si="393"/>
        <v>改修</v>
      </c>
      <c r="J301" s="1280" t="str">
        <f t="shared" ref="J301:L301" si="394">J85</f>
        <v>改修</v>
      </c>
      <c r="K301" s="1280" t="str">
        <f t="shared" si="394"/>
        <v>改修</v>
      </c>
      <c r="L301" s="1280" t="str">
        <f t="shared" si="394"/>
        <v>改修</v>
      </c>
      <c r="M301" s="1280" t="str">
        <f t="shared" si="393"/>
        <v>改修</v>
      </c>
      <c r="N301" s="1280" t="str">
        <f t="shared" si="393"/>
        <v>改修</v>
      </c>
      <c r="O301" s="1280">
        <f t="shared" si="393"/>
        <v>0</v>
      </c>
      <c r="P301" s="1280">
        <f t="shared" si="393"/>
        <v>0</v>
      </c>
      <c r="Q301" s="1280">
        <f t="shared" si="393"/>
        <v>0</v>
      </c>
    </row>
    <row r="302" spans="1:17" s="889" customFormat="1" ht="15" customHeight="1">
      <c r="A302" s="879"/>
      <c r="B302" s="880"/>
      <c r="C302" s="880" t="s">
        <v>2590</v>
      </c>
      <c r="D302" s="880"/>
      <c r="E302" s="1181" t="str">
        <f>+E86</f>
        <v>無し</v>
      </c>
      <c r="F302" s="1044" t="s">
        <v>2505</v>
      </c>
      <c r="G302" s="1281" t="str">
        <f t="shared" ref="G302:Q302" si="395">+G3</f>
        <v>可動式ホーム柵設置に伴う建築工事</v>
      </c>
      <c r="H302" s="1281" t="str">
        <f t="shared" si="395"/>
        <v>隙間解消工事</v>
      </c>
      <c r="I302" s="1281" t="str">
        <f t="shared" si="395"/>
        <v>列車停止位置変更に伴う建築工事</v>
      </c>
      <c r="J302" s="1281" t="str">
        <f t="shared" ref="J302:L302" si="396">+J3</f>
        <v>床仕上改造その他工事</v>
      </c>
      <c r="K302" s="1281" t="str">
        <f t="shared" si="396"/>
        <v>整列乗車対策工事</v>
      </c>
      <c r="L302" s="1281" t="str">
        <f t="shared" si="396"/>
        <v>可動式ホーム柵設置に伴う建築工事</v>
      </c>
      <c r="M302" s="1281" t="str">
        <f t="shared" si="395"/>
        <v>隙間解消工事</v>
      </c>
      <c r="N302" s="1281" t="str">
        <f t="shared" si="395"/>
        <v>床仕上改造その他工事</v>
      </c>
      <c r="O302" s="1281" t="str">
        <f t="shared" si="395"/>
        <v>ア)東梅田駅の部-床仕上改造その他工事-機械設備工事</v>
      </c>
      <c r="P302" s="1281" t="str">
        <f t="shared" si="395"/>
        <v>イ)6号線堺筋本町駅の部-床仕上改造その他工事-機械設備工事</v>
      </c>
      <c r="Q302" s="1282">
        <f t="shared" si="395"/>
        <v>0</v>
      </c>
    </row>
    <row r="303" spans="1:17" s="889" customFormat="1" ht="15" customHeight="1">
      <c r="A303" s="879"/>
      <c r="B303" s="880"/>
      <c r="C303" s="880" t="s">
        <v>2592</v>
      </c>
      <c r="D303" s="880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3"/>
      <c r="O303" s="1283"/>
      <c r="P303" s="1283"/>
      <c r="Q303" s="1284"/>
    </row>
    <row r="304" spans="1:17" s="889" customFormat="1" ht="15" customHeight="1">
      <c r="A304" s="2813" t="s">
        <v>2513</v>
      </c>
      <c r="B304" s="2814"/>
      <c r="C304" s="2814"/>
      <c r="D304" s="2814"/>
      <c r="E304" s="2814"/>
      <c r="F304" s="2815"/>
      <c r="G304" s="887" t="str">
        <f t="shared" ref="G304:Q304" si="397">+G10</f>
        <v>積上げ・率処理併用</v>
      </c>
      <c r="H304" s="887" t="str">
        <f t="shared" si="397"/>
        <v>積上げ・率処理併用</v>
      </c>
      <c r="I304" s="887" t="str">
        <f t="shared" si="397"/>
        <v>積上げ・率処理併用</v>
      </c>
      <c r="J304" s="887" t="str">
        <f t="shared" ref="J304:L304" si="398">+J10</f>
        <v>積上げ・率処理併用</v>
      </c>
      <c r="K304" s="887" t="str">
        <f t="shared" si="398"/>
        <v>積上げ・率処理併用</v>
      </c>
      <c r="L304" s="887" t="str">
        <f t="shared" si="398"/>
        <v>積上げ・率処理併用</v>
      </c>
      <c r="M304" s="887" t="str">
        <f t="shared" si="397"/>
        <v>積上げ・率処理併用</v>
      </c>
      <c r="N304" s="887" t="str">
        <f t="shared" si="397"/>
        <v>積上げ・率処理併用</v>
      </c>
      <c r="O304" s="887" t="str">
        <f t="shared" si="397"/>
        <v>積上げ・率処理併用</v>
      </c>
      <c r="P304" s="887" t="str">
        <f t="shared" si="397"/>
        <v>積上げ・率処理併用</v>
      </c>
      <c r="Q304" s="888" t="str">
        <f t="shared" si="397"/>
        <v>積上げ・率処理併用</v>
      </c>
    </row>
    <row r="305" spans="1:17" s="889" customFormat="1" ht="30" customHeight="1">
      <c r="A305" s="2816" t="s">
        <v>2514</v>
      </c>
      <c r="B305" s="2817"/>
      <c r="C305" s="2817"/>
      <c r="D305" s="2817"/>
      <c r="E305" s="2817"/>
      <c r="F305" s="2818"/>
      <c r="G305" s="1287" t="str">
        <f>G11</f>
        <v>駅施設</v>
      </c>
      <c r="H305" s="1287" t="str">
        <f t="shared" ref="H305:Q306" si="399">H11</f>
        <v>駅施設</v>
      </c>
      <c r="I305" s="1287" t="str">
        <f t="shared" si="399"/>
        <v>駅施設</v>
      </c>
      <c r="J305" s="1287" t="str">
        <f t="shared" ref="J305:L305" si="400">J11</f>
        <v>駅施設</v>
      </c>
      <c r="K305" s="1287" t="str">
        <f t="shared" si="400"/>
        <v>駅施設</v>
      </c>
      <c r="L305" s="1287" t="str">
        <f t="shared" si="400"/>
        <v>駅施設</v>
      </c>
      <c r="M305" s="1287" t="str">
        <f t="shared" si="399"/>
        <v>駅施設</v>
      </c>
      <c r="N305" s="1287" t="str">
        <f t="shared" si="399"/>
        <v>駅施設</v>
      </c>
      <c r="O305" s="1287" t="str">
        <f t="shared" si="399"/>
        <v>駅施設</v>
      </c>
      <c r="P305" s="1287" t="str">
        <f t="shared" si="399"/>
        <v>駅施設</v>
      </c>
      <c r="Q305" s="1288" t="str">
        <f t="shared" si="399"/>
        <v>駅施設</v>
      </c>
    </row>
    <row r="306" spans="1:17" s="889" customFormat="1" ht="30" customHeight="1">
      <c r="A306" s="2747" t="s">
        <v>2515</v>
      </c>
      <c r="B306" s="2748"/>
      <c r="C306" s="2748"/>
      <c r="D306" s="2748"/>
      <c r="E306" s="2748"/>
      <c r="F306" s="2749"/>
      <c r="G306" s="1289" t="str">
        <f>G12</f>
        <v>無し</v>
      </c>
      <c r="H306" s="1289" t="str">
        <f t="shared" si="399"/>
        <v>無し</v>
      </c>
      <c r="I306" s="1289" t="str">
        <f t="shared" si="399"/>
        <v>無し</v>
      </c>
      <c r="J306" s="1289" t="str">
        <f t="shared" ref="J306:L306" si="401">J12</f>
        <v>無し</v>
      </c>
      <c r="K306" s="1289" t="str">
        <f t="shared" si="401"/>
        <v>無し</v>
      </c>
      <c r="L306" s="1289" t="str">
        <f t="shared" si="401"/>
        <v>無し</v>
      </c>
      <c r="M306" s="1289" t="str">
        <f t="shared" si="399"/>
        <v>無し</v>
      </c>
      <c r="N306" s="1289" t="str">
        <f t="shared" si="399"/>
        <v>無し</v>
      </c>
      <c r="O306" s="1289" t="str">
        <f t="shared" si="399"/>
        <v>無し</v>
      </c>
      <c r="P306" s="1289" t="str">
        <f t="shared" si="399"/>
        <v>無し</v>
      </c>
      <c r="Q306" s="1290" t="str">
        <f t="shared" si="399"/>
        <v>無し</v>
      </c>
    </row>
    <row r="307" spans="1:17" s="889" customFormat="1" ht="15" customHeight="1">
      <c r="A307" s="870"/>
      <c r="B307" s="894" t="s">
        <v>2597</v>
      </c>
      <c r="C307" s="895"/>
      <c r="D307" s="895"/>
      <c r="E307" s="896"/>
      <c r="F307" s="897">
        <f>SUM(G307:Q307)</f>
        <v>409903980</v>
      </c>
      <c r="G307" s="898">
        <f>+G308+G312</f>
        <v>35437647</v>
      </c>
      <c r="H307" s="898">
        <f t="shared" ref="H307:Q307" si="402">+H308+H312</f>
        <v>22318883</v>
      </c>
      <c r="I307" s="898">
        <f t="shared" si="402"/>
        <v>2131661</v>
      </c>
      <c r="J307" s="898">
        <f t="shared" ref="J307:L307" si="403">+J308+J312</f>
        <v>114534942</v>
      </c>
      <c r="K307" s="898">
        <f t="shared" si="403"/>
        <v>10308099</v>
      </c>
      <c r="L307" s="898">
        <f t="shared" si="403"/>
        <v>47337205</v>
      </c>
      <c r="M307" s="898">
        <f t="shared" si="402"/>
        <v>28913934</v>
      </c>
      <c r="N307" s="898">
        <f t="shared" si="402"/>
        <v>146444304</v>
      </c>
      <c r="O307" s="898">
        <f t="shared" si="402"/>
        <v>1217504</v>
      </c>
      <c r="P307" s="898">
        <f t="shared" si="402"/>
        <v>1259801</v>
      </c>
      <c r="Q307" s="899">
        <f t="shared" si="402"/>
        <v>0</v>
      </c>
    </row>
    <row r="308" spans="1:17" s="889" customFormat="1" ht="15" customHeight="1">
      <c r="A308" s="879"/>
      <c r="B308" s="880"/>
      <c r="C308" s="691" t="s">
        <v>2517</v>
      </c>
      <c r="D308" s="692"/>
      <c r="E308" s="874"/>
      <c r="F308" s="900">
        <f>SUM(G308:Q308)</f>
        <v>381891801</v>
      </c>
      <c r="G308" s="1291">
        <f t="shared" ref="G308:Q308" si="404">+G92+G14</f>
        <v>30975116</v>
      </c>
      <c r="H308" s="1291">
        <f t="shared" si="404"/>
        <v>21555646</v>
      </c>
      <c r="I308" s="1291">
        <f t="shared" si="404"/>
        <v>2052481</v>
      </c>
      <c r="J308" s="1291">
        <f t="shared" ref="J308:L308" si="405">+J92+J14</f>
        <v>108957216</v>
      </c>
      <c r="K308" s="1291">
        <f t="shared" si="405"/>
        <v>9889813</v>
      </c>
      <c r="L308" s="1291">
        <f t="shared" si="405"/>
        <v>41900722</v>
      </c>
      <c r="M308" s="1291">
        <f t="shared" si="404"/>
        <v>27426558</v>
      </c>
      <c r="N308" s="1291">
        <f t="shared" si="404"/>
        <v>136923335</v>
      </c>
      <c r="O308" s="1291">
        <f t="shared" si="404"/>
        <v>1085299</v>
      </c>
      <c r="P308" s="1291">
        <f t="shared" si="404"/>
        <v>1125615</v>
      </c>
      <c r="Q308" s="1292">
        <f t="shared" si="404"/>
        <v>0</v>
      </c>
    </row>
    <row r="309" spans="1:17" s="889" customFormat="1" ht="15" customHeight="1">
      <c r="A309" s="879"/>
      <c r="B309" s="880"/>
      <c r="C309" s="1054"/>
      <c r="D309" s="1054"/>
      <c r="E309" s="903"/>
      <c r="F309" s="904" t="s">
        <v>2598</v>
      </c>
      <c r="G309" s="905">
        <f t="shared" ref="G309:Q309" si="406">SUM(G401:G410)</f>
        <v>35437647</v>
      </c>
      <c r="H309" s="905">
        <f t="shared" si="406"/>
        <v>22318883</v>
      </c>
      <c r="I309" s="905">
        <f t="shared" si="406"/>
        <v>2131661</v>
      </c>
      <c r="J309" s="905">
        <f t="shared" ref="J309:L309" si="407">SUM(J401:J410)</f>
        <v>114534942</v>
      </c>
      <c r="K309" s="905">
        <f t="shared" si="407"/>
        <v>10308099</v>
      </c>
      <c r="L309" s="905">
        <f t="shared" si="407"/>
        <v>47337205</v>
      </c>
      <c r="M309" s="905">
        <f t="shared" si="406"/>
        <v>28913934</v>
      </c>
      <c r="N309" s="905">
        <f t="shared" si="406"/>
        <v>146444304</v>
      </c>
      <c r="O309" s="905">
        <f t="shared" si="406"/>
        <v>1217504</v>
      </c>
      <c r="P309" s="905">
        <f t="shared" si="406"/>
        <v>1259801</v>
      </c>
      <c r="Q309" s="906">
        <f t="shared" si="406"/>
        <v>0</v>
      </c>
    </row>
    <row r="310" spans="1:17" s="889" customFormat="1" ht="15" customHeight="1">
      <c r="A310" s="879"/>
      <c r="B310" s="880"/>
      <c r="C310" s="1054"/>
      <c r="D310" s="1054"/>
      <c r="E310" s="903"/>
      <c r="F310" s="904" t="s">
        <v>2599</v>
      </c>
      <c r="G310" s="905">
        <f t="shared" ref="G310:Q310" si="408">SUM(G447:G449)</f>
        <v>0</v>
      </c>
      <c r="H310" s="905">
        <f t="shared" si="408"/>
        <v>0</v>
      </c>
      <c r="I310" s="905">
        <f t="shared" si="408"/>
        <v>0</v>
      </c>
      <c r="J310" s="905">
        <f t="shared" ref="J310:L310" si="409">SUM(J447:J449)</f>
        <v>0</v>
      </c>
      <c r="K310" s="905">
        <f t="shared" si="409"/>
        <v>0</v>
      </c>
      <c r="L310" s="905">
        <f t="shared" si="409"/>
        <v>0</v>
      </c>
      <c r="M310" s="905">
        <f t="shared" si="408"/>
        <v>0</v>
      </c>
      <c r="N310" s="905">
        <f t="shared" si="408"/>
        <v>0</v>
      </c>
      <c r="O310" s="905">
        <f t="shared" si="408"/>
        <v>0</v>
      </c>
      <c r="P310" s="905">
        <f t="shared" si="408"/>
        <v>0</v>
      </c>
      <c r="Q310" s="906">
        <f t="shared" si="408"/>
        <v>0</v>
      </c>
    </row>
    <row r="311" spans="1:17" s="889" customFormat="1" ht="15" customHeight="1">
      <c r="A311" s="879"/>
      <c r="B311" s="880"/>
      <c r="C311" s="1054"/>
      <c r="D311" s="1054"/>
      <c r="E311" s="903"/>
      <c r="F311" s="1055" t="s">
        <v>2600</v>
      </c>
      <c r="G311" s="905">
        <f t="shared" ref="G311:Q311" si="410">+G350</f>
        <v>30975116</v>
      </c>
      <c r="H311" s="905">
        <f t="shared" si="410"/>
        <v>21555646</v>
      </c>
      <c r="I311" s="905">
        <f t="shared" si="410"/>
        <v>2052481</v>
      </c>
      <c r="J311" s="905">
        <f t="shared" ref="J311:L311" si="411">+J350</f>
        <v>108957216</v>
      </c>
      <c r="K311" s="905">
        <f t="shared" si="411"/>
        <v>9889813</v>
      </c>
      <c r="L311" s="905">
        <f t="shared" si="411"/>
        <v>41900722</v>
      </c>
      <c r="M311" s="905">
        <f t="shared" si="410"/>
        <v>27426558</v>
      </c>
      <c r="N311" s="905">
        <f t="shared" si="410"/>
        <v>136923335</v>
      </c>
      <c r="O311" s="905">
        <f t="shared" si="410"/>
        <v>1085299</v>
      </c>
      <c r="P311" s="905">
        <f t="shared" si="410"/>
        <v>1125615</v>
      </c>
      <c r="Q311" s="906">
        <f t="shared" si="410"/>
        <v>0</v>
      </c>
    </row>
    <row r="312" spans="1:17" s="889" customFormat="1" ht="15" customHeight="1">
      <c r="A312" s="879"/>
      <c r="B312" s="880"/>
      <c r="C312" s="698" t="s">
        <v>2518</v>
      </c>
      <c r="D312" s="698"/>
      <c r="E312" s="903"/>
      <c r="F312" s="904">
        <f t="shared" ref="F312:F329" si="412">SUM(G312:Q312)</f>
        <v>28012179</v>
      </c>
      <c r="G312" s="905">
        <f t="shared" ref="G312:Q312" si="413">G313+G314</f>
        <v>4462531</v>
      </c>
      <c r="H312" s="905">
        <f t="shared" si="413"/>
        <v>763237</v>
      </c>
      <c r="I312" s="905">
        <f t="shared" si="413"/>
        <v>79180</v>
      </c>
      <c r="J312" s="905">
        <f t="shared" ref="J312:L312" si="414">J313+J314</f>
        <v>5577726</v>
      </c>
      <c r="K312" s="905">
        <f t="shared" si="414"/>
        <v>418286</v>
      </c>
      <c r="L312" s="905">
        <f t="shared" si="414"/>
        <v>5436483</v>
      </c>
      <c r="M312" s="905">
        <f t="shared" si="413"/>
        <v>1487376</v>
      </c>
      <c r="N312" s="905">
        <f t="shared" si="413"/>
        <v>9520969</v>
      </c>
      <c r="O312" s="905">
        <f t="shared" si="413"/>
        <v>132205</v>
      </c>
      <c r="P312" s="905">
        <f t="shared" si="413"/>
        <v>134186</v>
      </c>
      <c r="Q312" s="906">
        <f t="shared" si="413"/>
        <v>0</v>
      </c>
    </row>
    <row r="313" spans="1:17" s="889" customFormat="1" ht="15" customHeight="1">
      <c r="A313" s="879"/>
      <c r="B313" s="880"/>
      <c r="C313" s="907" t="s">
        <v>2519</v>
      </c>
      <c r="D313" s="698"/>
      <c r="E313" s="903"/>
      <c r="F313" s="904">
        <f t="shared" si="412"/>
        <v>0</v>
      </c>
      <c r="G313" s="905">
        <f>IF(G304="積上げ",0,G390)</f>
        <v>0</v>
      </c>
      <c r="H313" s="905">
        <f t="shared" ref="H313:Q313" si="415">IF(H304="積上げ",0,H390)</f>
        <v>0</v>
      </c>
      <c r="I313" s="905">
        <f t="shared" si="415"/>
        <v>0</v>
      </c>
      <c r="J313" s="905">
        <f t="shared" ref="J313:L313" si="416">IF(J304="積上げ",0,J390)</f>
        <v>0</v>
      </c>
      <c r="K313" s="905">
        <f t="shared" si="416"/>
        <v>0</v>
      </c>
      <c r="L313" s="905">
        <f t="shared" si="416"/>
        <v>0</v>
      </c>
      <c r="M313" s="905">
        <f t="shared" si="415"/>
        <v>0</v>
      </c>
      <c r="N313" s="905">
        <f t="shared" si="415"/>
        <v>0</v>
      </c>
      <c r="O313" s="905">
        <f t="shared" si="415"/>
        <v>0</v>
      </c>
      <c r="P313" s="905">
        <f t="shared" si="415"/>
        <v>0</v>
      </c>
      <c r="Q313" s="906">
        <f t="shared" si="415"/>
        <v>0</v>
      </c>
    </row>
    <row r="314" spans="1:17" s="889" customFormat="1" ht="15" customHeight="1">
      <c r="A314" s="879"/>
      <c r="B314" s="880"/>
      <c r="C314" s="907" t="s">
        <v>2525</v>
      </c>
      <c r="D314" s="698"/>
      <c r="E314" s="903"/>
      <c r="F314" s="904">
        <f t="shared" si="412"/>
        <v>28012179</v>
      </c>
      <c r="G314" s="1293">
        <f t="shared" ref="G314:Q316" si="417">+G98+G22</f>
        <v>4462531</v>
      </c>
      <c r="H314" s="1293">
        <f t="shared" si="417"/>
        <v>763237</v>
      </c>
      <c r="I314" s="1293">
        <f t="shared" si="417"/>
        <v>79180</v>
      </c>
      <c r="J314" s="1293">
        <f t="shared" ref="J314:L314" si="418">+J98+J22</f>
        <v>5577726</v>
      </c>
      <c r="K314" s="1293">
        <f t="shared" si="418"/>
        <v>418286</v>
      </c>
      <c r="L314" s="1293">
        <f t="shared" si="418"/>
        <v>5436483</v>
      </c>
      <c r="M314" s="1293">
        <f t="shared" si="417"/>
        <v>1487376</v>
      </c>
      <c r="N314" s="1293">
        <f t="shared" si="417"/>
        <v>9520969</v>
      </c>
      <c r="O314" s="1293">
        <f t="shared" si="417"/>
        <v>132205</v>
      </c>
      <c r="P314" s="1293">
        <f t="shared" si="417"/>
        <v>134186</v>
      </c>
      <c r="Q314" s="1294">
        <f t="shared" si="417"/>
        <v>0</v>
      </c>
    </row>
    <row r="315" spans="1:17" s="889" customFormat="1" ht="15" customHeight="1">
      <c r="A315" s="879"/>
      <c r="B315" s="880"/>
      <c r="C315" s="915" t="s">
        <v>2709</v>
      </c>
      <c r="D315" s="698"/>
      <c r="E315" s="903"/>
      <c r="F315" s="904">
        <f t="shared" si="412"/>
        <v>0</v>
      </c>
      <c r="G315" s="905">
        <f t="shared" si="417"/>
        <v>0</v>
      </c>
      <c r="H315" s="905">
        <f t="shared" si="417"/>
        <v>0</v>
      </c>
      <c r="I315" s="905">
        <f t="shared" si="417"/>
        <v>0</v>
      </c>
      <c r="J315" s="905">
        <f t="shared" ref="J315:L315" si="419">+J99+J23</f>
        <v>0</v>
      </c>
      <c r="K315" s="905">
        <f t="shared" si="419"/>
        <v>0</v>
      </c>
      <c r="L315" s="905">
        <f t="shared" si="419"/>
        <v>0</v>
      </c>
      <c r="M315" s="905">
        <f t="shared" si="417"/>
        <v>0</v>
      </c>
      <c r="N315" s="905">
        <f t="shared" si="417"/>
        <v>0</v>
      </c>
      <c r="O315" s="905">
        <f t="shared" si="417"/>
        <v>0</v>
      </c>
      <c r="P315" s="905">
        <f t="shared" si="417"/>
        <v>0</v>
      </c>
      <c r="Q315" s="906">
        <f t="shared" si="417"/>
        <v>0</v>
      </c>
    </row>
    <row r="316" spans="1:17" s="889" customFormat="1" ht="15" customHeight="1">
      <c r="A316" s="879"/>
      <c r="B316" s="880"/>
      <c r="C316" s="916" t="s">
        <v>2527</v>
      </c>
      <c r="D316" s="917"/>
      <c r="E316" s="918"/>
      <c r="F316" s="919">
        <f t="shared" si="412"/>
        <v>0</v>
      </c>
      <c r="G316" s="905">
        <f t="shared" si="417"/>
        <v>0</v>
      </c>
      <c r="H316" s="905">
        <f t="shared" si="417"/>
        <v>0</v>
      </c>
      <c r="I316" s="905">
        <f t="shared" si="417"/>
        <v>0</v>
      </c>
      <c r="J316" s="905">
        <f t="shared" ref="J316:L316" si="420">+J100+J24</f>
        <v>0</v>
      </c>
      <c r="K316" s="905">
        <f t="shared" si="420"/>
        <v>0</v>
      </c>
      <c r="L316" s="905">
        <f t="shared" si="420"/>
        <v>0</v>
      </c>
      <c r="M316" s="905">
        <f t="shared" si="417"/>
        <v>0</v>
      </c>
      <c r="N316" s="905">
        <f t="shared" si="417"/>
        <v>0</v>
      </c>
      <c r="O316" s="905">
        <f t="shared" si="417"/>
        <v>0</v>
      </c>
      <c r="P316" s="905">
        <f t="shared" si="417"/>
        <v>0</v>
      </c>
      <c r="Q316" s="906">
        <f t="shared" si="417"/>
        <v>0</v>
      </c>
    </row>
    <row r="317" spans="1:17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412"/>
        <v>28012179</v>
      </c>
      <c r="G317" s="1064">
        <f t="shared" ref="G317:Q317" si="421">+G351</f>
        <v>4462531</v>
      </c>
      <c r="H317" s="1064">
        <f t="shared" si="421"/>
        <v>763237</v>
      </c>
      <c r="I317" s="1064">
        <f t="shared" si="421"/>
        <v>79180</v>
      </c>
      <c r="J317" s="1064">
        <f t="shared" ref="J317:L317" si="422">+J351</f>
        <v>5577726</v>
      </c>
      <c r="K317" s="1064">
        <f t="shared" si="422"/>
        <v>418286</v>
      </c>
      <c r="L317" s="1064">
        <f t="shared" si="422"/>
        <v>5436483</v>
      </c>
      <c r="M317" s="1064">
        <f t="shared" si="421"/>
        <v>1487376</v>
      </c>
      <c r="N317" s="1064">
        <f t="shared" si="421"/>
        <v>9520969</v>
      </c>
      <c r="O317" s="1064">
        <f t="shared" si="421"/>
        <v>132205</v>
      </c>
      <c r="P317" s="1064">
        <f t="shared" si="421"/>
        <v>134186</v>
      </c>
      <c r="Q317" s="1065">
        <f t="shared" si="421"/>
        <v>0</v>
      </c>
    </row>
    <row r="318" spans="1:17" s="889" customFormat="1" ht="15" customHeight="1">
      <c r="A318" s="879"/>
      <c r="B318" s="917" t="s">
        <v>2602</v>
      </c>
      <c r="C318" s="917"/>
      <c r="D318" s="917"/>
      <c r="E318" s="918"/>
      <c r="F318" s="919">
        <f t="shared" si="412"/>
        <v>98796020</v>
      </c>
      <c r="G318" s="1066">
        <f t="shared" ref="G318:Q318" si="423">G319+G324</f>
        <v>8254353</v>
      </c>
      <c r="H318" s="1066">
        <f t="shared" si="423"/>
        <v>5133117</v>
      </c>
      <c r="I318" s="1066">
        <f t="shared" si="423"/>
        <v>494339</v>
      </c>
      <c r="J318" s="1066">
        <f t="shared" ref="J318:L318" si="424">J319+J324</f>
        <v>28256058</v>
      </c>
      <c r="K318" s="1066">
        <f t="shared" si="424"/>
        <v>2504901</v>
      </c>
      <c r="L318" s="1066">
        <f t="shared" si="424"/>
        <v>11022795</v>
      </c>
      <c r="M318" s="1066">
        <f t="shared" si="423"/>
        <v>6405066</v>
      </c>
      <c r="N318" s="1066">
        <f t="shared" si="423"/>
        <v>35277696</v>
      </c>
      <c r="O318" s="1066">
        <f t="shared" si="423"/>
        <v>711496</v>
      </c>
      <c r="P318" s="1066">
        <f t="shared" si="423"/>
        <v>736199</v>
      </c>
      <c r="Q318" s="1067">
        <f t="shared" si="423"/>
        <v>0</v>
      </c>
    </row>
    <row r="319" spans="1:17" s="889" customFormat="1" ht="15" customHeight="1">
      <c r="A319" s="879"/>
      <c r="B319" s="880"/>
      <c r="C319" s="691" t="s">
        <v>2603</v>
      </c>
      <c r="D319" s="691"/>
      <c r="E319" s="875"/>
      <c r="F319" s="900">
        <f t="shared" si="412"/>
        <v>45958688</v>
      </c>
      <c r="G319" s="1068">
        <f t="shared" ref="G319:Q319" si="425">G320+G323</f>
        <v>3717375</v>
      </c>
      <c r="H319" s="1068">
        <f t="shared" si="425"/>
        <v>2282113</v>
      </c>
      <c r="I319" s="1068">
        <f t="shared" si="425"/>
        <v>221648</v>
      </c>
      <c r="J319" s="1068">
        <f t="shared" ref="J319:L319" si="426">J320+J323</f>
        <v>13424172</v>
      </c>
      <c r="K319" s="1068">
        <f t="shared" si="426"/>
        <v>1173850</v>
      </c>
      <c r="L319" s="1068">
        <f t="shared" si="426"/>
        <v>4961085</v>
      </c>
      <c r="M319" s="1068">
        <f t="shared" si="425"/>
        <v>2736856</v>
      </c>
      <c r="N319" s="1068">
        <f t="shared" si="425"/>
        <v>16401671</v>
      </c>
      <c r="O319" s="1068">
        <f t="shared" si="425"/>
        <v>511139</v>
      </c>
      <c r="P319" s="1068">
        <f t="shared" si="425"/>
        <v>528779</v>
      </c>
      <c r="Q319" s="1069">
        <f t="shared" si="425"/>
        <v>0</v>
      </c>
    </row>
    <row r="320" spans="1:17" s="889" customFormat="1" ht="15" customHeight="1">
      <c r="A320" s="879"/>
      <c r="B320" s="880"/>
      <c r="C320" s="1070" t="s">
        <v>2604</v>
      </c>
      <c r="D320" s="1070"/>
      <c r="E320" s="884"/>
      <c r="F320" s="904">
        <f t="shared" si="412"/>
        <v>0</v>
      </c>
      <c r="G320" s="1071">
        <f t="shared" ref="G320:Q320" si="427">SUM(G321:G322)-G323</f>
        <v>0</v>
      </c>
      <c r="H320" s="1071">
        <f t="shared" si="427"/>
        <v>0</v>
      </c>
      <c r="I320" s="1071">
        <f t="shared" si="427"/>
        <v>0</v>
      </c>
      <c r="J320" s="1071">
        <f t="shared" ref="J320:L320" si="428">SUM(J321:J322)-J323</f>
        <v>0</v>
      </c>
      <c r="K320" s="1071">
        <f t="shared" si="428"/>
        <v>0</v>
      </c>
      <c r="L320" s="1071">
        <f t="shared" si="428"/>
        <v>0</v>
      </c>
      <c r="M320" s="1071">
        <f t="shared" si="427"/>
        <v>0</v>
      </c>
      <c r="N320" s="1071">
        <f t="shared" si="427"/>
        <v>0</v>
      </c>
      <c r="O320" s="1071">
        <f t="shared" si="427"/>
        <v>0</v>
      </c>
      <c r="P320" s="1071">
        <f t="shared" si="427"/>
        <v>0</v>
      </c>
      <c r="Q320" s="1072">
        <f t="shared" si="427"/>
        <v>0</v>
      </c>
    </row>
    <row r="321" spans="1:17" s="889" customFormat="1" ht="15" customHeight="1">
      <c r="A321" s="879"/>
      <c r="B321" s="880"/>
      <c r="C321" s="1073" t="s">
        <v>2605</v>
      </c>
      <c r="D321" s="1073"/>
      <c r="E321" s="903"/>
      <c r="F321" s="904">
        <f t="shared" si="412"/>
        <v>0</v>
      </c>
      <c r="G321" s="905">
        <f t="shared" ref="G321:Q321" si="429">SUM(G416:G418)+G414</f>
        <v>0</v>
      </c>
      <c r="H321" s="905">
        <f t="shared" si="429"/>
        <v>0</v>
      </c>
      <c r="I321" s="905">
        <f t="shared" si="429"/>
        <v>0</v>
      </c>
      <c r="J321" s="905">
        <f t="shared" ref="J321:L321" si="430">SUM(J416:J418)+J414</f>
        <v>0</v>
      </c>
      <c r="K321" s="905">
        <f t="shared" si="430"/>
        <v>0</v>
      </c>
      <c r="L321" s="905">
        <f t="shared" si="430"/>
        <v>0</v>
      </c>
      <c r="M321" s="905">
        <f t="shared" si="429"/>
        <v>0</v>
      </c>
      <c r="N321" s="905">
        <f t="shared" si="429"/>
        <v>0</v>
      </c>
      <c r="O321" s="905">
        <f t="shared" si="429"/>
        <v>0</v>
      </c>
      <c r="P321" s="905">
        <f t="shared" si="429"/>
        <v>0</v>
      </c>
      <c r="Q321" s="906">
        <f t="shared" si="429"/>
        <v>0</v>
      </c>
    </row>
    <row r="322" spans="1:17" s="889" customFormat="1" ht="15" customHeight="1">
      <c r="A322" s="879"/>
      <c r="B322" s="880"/>
      <c r="C322" s="1073" t="s">
        <v>2606</v>
      </c>
      <c r="D322" s="1073"/>
      <c r="E322" s="903"/>
      <c r="F322" s="904">
        <f t="shared" si="412"/>
        <v>45958688</v>
      </c>
      <c r="G322" s="905">
        <f t="shared" ref="G322:Q322" si="431">SUM(G419:G430)</f>
        <v>3717375</v>
      </c>
      <c r="H322" s="905">
        <f t="shared" si="431"/>
        <v>2282113</v>
      </c>
      <c r="I322" s="905">
        <f t="shared" si="431"/>
        <v>221648</v>
      </c>
      <c r="J322" s="905">
        <f t="shared" ref="J322:L322" si="432">SUM(J419:J430)</f>
        <v>13424172</v>
      </c>
      <c r="K322" s="905">
        <f t="shared" si="432"/>
        <v>1173850</v>
      </c>
      <c r="L322" s="905">
        <f t="shared" si="432"/>
        <v>4961085</v>
      </c>
      <c r="M322" s="905">
        <f t="shared" si="431"/>
        <v>2736856</v>
      </c>
      <c r="N322" s="905">
        <f t="shared" si="431"/>
        <v>16401671</v>
      </c>
      <c r="O322" s="905">
        <f t="shared" si="431"/>
        <v>511139</v>
      </c>
      <c r="P322" s="905">
        <f t="shared" si="431"/>
        <v>528779</v>
      </c>
      <c r="Q322" s="906">
        <f t="shared" si="431"/>
        <v>0</v>
      </c>
    </row>
    <row r="323" spans="1:17" s="889" customFormat="1" ht="15" customHeight="1">
      <c r="A323" s="879"/>
      <c r="B323" s="880"/>
      <c r="C323" s="1073" t="s">
        <v>2607</v>
      </c>
      <c r="D323" s="1073"/>
      <c r="E323" s="903"/>
      <c r="F323" s="904">
        <f t="shared" si="412"/>
        <v>45958688</v>
      </c>
      <c r="G323" s="905">
        <f t="shared" ref="G323:Q323" si="433">+G428</f>
        <v>3717375</v>
      </c>
      <c r="H323" s="905">
        <f t="shared" si="433"/>
        <v>2282113</v>
      </c>
      <c r="I323" s="905">
        <f t="shared" si="433"/>
        <v>221648</v>
      </c>
      <c r="J323" s="905">
        <f t="shared" ref="J323:L323" si="434">+J428</f>
        <v>13424172</v>
      </c>
      <c r="K323" s="905">
        <f t="shared" si="434"/>
        <v>1173850</v>
      </c>
      <c r="L323" s="905">
        <f t="shared" si="434"/>
        <v>4961085</v>
      </c>
      <c r="M323" s="905">
        <f t="shared" si="433"/>
        <v>2736856</v>
      </c>
      <c r="N323" s="905">
        <f t="shared" si="433"/>
        <v>16401671</v>
      </c>
      <c r="O323" s="905">
        <f t="shared" si="433"/>
        <v>511139</v>
      </c>
      <c r="P323" s="905">
        <f t="shared" si="433"/>
        <v>528779</v>
      </c>
      <c r="Q323" s="906">
        <f t="shared" si="433"/>
        <v>0</v>
      </c>
    </row>
    <row r="324" spans="1:17" s="889" customFormat="1" ht="15" customHeight="1">
      <c r="A324" s="879"/>
      <c r="B324" s="880"/>
      <c r="C324" s="698" t="s">
        <v>2608</v>
      </c>
      <c r="D324" s="698"/>
      <c r="E324" s="903"/>
      <c r="F324" s="904">
        <f t="shared" si="412"/>
        <v>52837332</v>
      </c>
      <c r="G324" s="905">
        <f>SUM(G325:G328)</f>
        <v>4536978</v>
      </c>
      <c r="H324" s="905">
        <f t="shared" ref="H324:Q324" si="435">SUM(H325:H328)</f>
        <v>2851004</v>
      </c>
      <c r="I324" s="905">
        <f t="shared" si="435"/>
        <v>272691</v>
      </c>
      <c r="J324" s="905">
        <f t="shared" ref="J324:L324" si="436">SUM(J325:J328)</f>
        <v>14831886</v>
      </c>
      <c r="K324" s="905">
        <f t="shared" si="436"/>
        <v>1331051</v>
      </c>
      <c r="L324" s="905">
        <f t="shared" si="436"/>
        <v>6061710</v>
      </c>
      <c r="M324" s="905">
        <f t="shared" si="435"/>
        <v>3668210</v>
      </c>
      <c r="N324" s="905">
        <f t="shared" si="435"/>
        <v>18876025</v>
      </c>
      <c r="O324" s="905">
        <f t="shared" si="435"/>
        <v>200357</v>
      </c>
      <c r="P324" s="905">
        <f t="shared" si="435"/>
        <v>207420</v>
      </c>
      <c r="Q324" s="906">
        <f t="shared" si="435"/>
        <v>0</v>
      </c>
    </row>
    <row r="325" spans="1:17" s="889" customFormat="1" ht="15" customHeight="1">
      <c r="A325" s="879"/>
      <c r="B325" s="880"/>
      <c r="C325" s="1073" t="s">
        <v>2605</v>
      </c>
      <c r="D325" s="1073"/>
      <c r="E325" s="903"/>
      <c r="F325" s="1074">
        <f t="shared" si="412"/>
        <v>50143184</v>
      </c>
      <c r="G325" s="905">
        <f>IF(G452=0,0,+G452-G469)</f>
        <v>4305571</v>
      </c>
      <c r="H325" s="905">
        <f t="shared" ref="H325:Q325" si="437">IF(H452=0,0,+H452-H469)</f>
        <v>2705613</v>
      </c>
      <c r="I325" s="905">
        <f t="shared" si="437"/>
        <v>258783</v>
      </c>
      <c r="J325" s="905">
        <f t="shared" ref="J325:L325" si="438">IF(J452=0,0,+J452-J469)</f>
        <v>14075647</v>
      </c>
      <c r="K325" s="905">
        <f t="shared" si="438"/>
        <v>1263192</v>
      </c>
      <c r="L325" s="905">
        <f t="shared" si="438"/>
        <v>5752627</v>
      </c>
      <c r="M325" s="905">
        <f t="shared" si="437"/>
        <v>3481154</v>
      </c>
      <c r="N325" s="905">
        <f t="shared" si="437"/>
        <v>17913606</v>
      </c>
      <c r="O325" s="905">
        <f t="shared" si="437"/>
        <v>190141</v>
      </c>
      <c r="P325" s="905">
        <f t="shared" si="437"/>
        <v>196850</v>
      </c>
      <c r="Q325" s="906">
        <f t="shared" si="437"/>
        <v>0</v>
      </c>
    </row>
    <row r="326" spans="1:17" s="889" customFormat="1" ht="15" customHeight="1">
      <c r="A326" s="879"/>
      <c r="B326" s="880"/>
      <c r="C326" s="1073" t="s">
        <v>2609</v>
      </c>
      <c r="D326" s="1073"/>
      <c r="E326" s="903"/>
      <c r="F326" s="904">
        <f t="shared" si="412"/>
        <v>2694148</v>
      </c>
      <c r="G326" s="905">
        <f t="shared" ref="G326:Q326" si="439">+G453+G454</f>
        <v>231407</v>
      </c>
      <c r="H326" s="905">
        <f t="shared" si="439"/>
        <v>145391</v>
      </c>
      <c r="I326" s="905">
        <f t="shared" si="439"/>
        <v>13908</v>
      </c>
      <c r="J326" s="905">
        <f t="shared" ref="J326:L326" si="440">+J453+J454</f>
        <v>756239</v>
      </c>
      <c r="K326" s="905">
        <f t="shared" si="440"/>
        <v>67859</v>
      </c>
      <c r="L326" s="905">
        <f t="shared" si="440"/>
        <v>309083</v>
      </c>
      <c r="M326" s="905">
        <f t="shared" si="439"/>
        <v>187056</v>
      </c>
      <c r="N326" s="905">
        <f t="shared" si="439"/>
        <v>962419</v>
      </c>
      <c r="O326" s="905">
        <f t="shared" si="439"/>
        <v>10216</v>
      </c>
      <c r="P326" s="905">
        <f t="shared" si="439"/>
        <v>10570</v>
      </c>
      <c r="Q326" s="906">
        <f t="shared" si="439"/>
        <v>0</v>
      </c>
    </row>
    <row r="327" spans="1:17" s="889" customFormat="1" ht="15" customHeight="1">
      <c r="A327" s="879"/>
      <c r="B327" s="880"/>
      <c r="C327" s="1073" t="s">
        <v>2610</v>
      </c>
      <c r="D327" s="1073"/>
      <c r="E327" s="903"/>
      <c r="F327" s="904">
        <f t="shared" si="412"/>
        <v>0</v>
      </c>
      <c r="G327" s="905">
        <f t="shared" ref="G327:Q327" si="441">SUM(G455:G459)</f>
        <v>0</v>
      </c>
      <c r="H327" s="905">
        <f t="shared" si="441"/>
        <v>0</v>
      </c>
      <c r="I327" s="905">
        <f t="shared" si="441"/>
        <v>0</v>
      </c>
      <c r="J327" s="905">
        <f t="shared" ref="J327:L327" si="442">SUM(J455:J459)</f>
        <v>0</v>
      </c>
      <c r="K327" s="905">
        <f t="shared" si="442"/>
        <v>0</v>
      </c>
      <c r="L327" s="905">
        <f t="shared" si="442"/>
        <v>0</v>
      </c>
      <c r="M327" s="905">
        <f t="shared" si="441"/>
        <v>0</v>
      </c>
      <c r="N327" s="905">
        <f t="shared" si="441"/>
        <v>0</v>
      </c>
      <c r="O327" s="905">
        <f t="shared" si="441"/>
        <v>0</v>
      </c>
      <c r="P327" s="905">
        <f t="shared" si="441"/>
        <v>0</v>
      </c>
      <c r="Q327" s="906">
        <f t="shared" si="441"/>
        <v>0</v>
      </c>
    </row>
    <row r="328" spans="1:17" s="889" customFormat="1" ht="15" customHeight="1">
      <c r="A328" s="879"/>
      <c r="B328" s="880"/>
      <c r="C328" s="917" t="s">
        <v>2611</v>
      </c>
      <c r="D328" s="880"/>
      <c r="E328" s="918"/>
      <c r="F328" s="919">
        <f t="shared" si="412"/>
        <v>0</v>
      </c>
      <c r="G328" s="1066">
        <f>IF(G460=0,0,+G460-G469)</f>
        <v>0</v>
      </c>
      <c r="H328" s="1066">
        <f t="shared" ref="H328:Q328" si="443">IF(H460=0,0,+H460-H469)</f>
        <v>0</v>
      </c>
      <c r="I328" s="1066">
        <f t="shared" si="443"/>
        <v>0</v>
      </c>
      <c r="J328" s="1066">
        <f t="shared" ref="J328:L328" si="444">IF(J460=0,0,+J460-J469)</f>
        <v>0</v>
      </c>
      <c r="K328" s="1066">
        <f t="shared" si="444"/>
        <v>0</v>
      </c>
      <c r="L328" s="1066">
        <f t="shared" si="444"/>
        <v>0</v>
      </c>
      <c r="M328" s="1066">
        <f t="shared" si="443"/>
        <v>0</v>
      </c>
      <c r="N328" s="1066">
        <f t="shared" si="443"/>
        <v>0</v>
      </c>
      <c r="O328" s="1066">
        <f t="shared" si="443"/>
        <v>0</v>
      </c>
      <c r="P328" s="1066">
        <f t="shared" si="443"/>
        <v>0</v>
      </c>
      <c r="Q328" s="1067">
        <f t="shared" si="443"/>
        <v>0</v>
      </c>
    </row>
    <row r="329" spans="1:17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412"/>
        <v>508700000</v>
      </c>
      <c r="G329" s="898">
        <f t="shared" ref="G329:Q329" si="445">G307+G318</f>
        <v>43692000</v>
      </c>
      <c r="H329" s="898">
        <f t="shared" si="445"/>
        <v>27452000</v>
      </c>
      <c r="I329" s="898">
        <f t="shared" si="445"/>
        <v>2626000</v>
      </c>
      <c r="J329" s="898">
        <f t="shared" ref="J329:L329" si="446">J307+J318</f>
        <v>142791000</v>
      </c>
      <c r="K329" s="898">
        <f t="shared" si="446"/>
        <v>12813000</v>
      </c>
      <c r="L329" s="898">
        <f t="shared" si="446"/>
        <v>58360000</v>
      </c>
      <c r="M329" s="898">
        <f t="shared" si="445"/>
        <v>35319000</v>
      </c>
      <c r="N329" s="898">
        <f t="shared" si="445"/>
        <v>181722000</v>
      </c>
      <c r="O329" s="898">
        <f t="shared" si="445"/>
        <v>1929000</v>
      </c>
      <c r="P329" s="898">
        <f t="shared" si="445"/>
        <v>1996000</v>
      </c>
      <c r="Q329" s="899">
        <f t="shared" si="445"/>
        <v>0</v>
      </c>
    </row>
    <row r="330" spans="1:17" s="889" customFormat="1" ht="15" customHeight="1">
      <c r="A330" s="1077"/>
      <c r="B330" s="880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  <c r="O330" s="1037"/>
      <c r="P330" s="1037"/>
      <c r="Q330" s="1037"/>
    </row>
    <row r="331" spans="1:17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可動式ホーム柵設置に伴う建築工事</v>
      </c>
      <c r="H331" s="1084" t="str">
        <f t="shared" ref="H331:Q331" si="447">+H302</f>
        <v>隙間解消工事</v>
      </c>
      <c r="I331" s="1084" t="str">
        <f t="shared" si="447"/>
        <v>列車停止位置変更に伴う建築工事</v>
      </c>
      <c r="J331" s="1084" t="str">
        <f t="shared" ref="J331:L331" si="448">+J302</f>
        <v>床仕上改造その他工事</v>
      </c>
      <c r="K331" s="1084" t="str">
        <f t="shared" si="448"/>
        <v>整列乗車対策工事</v>
      </c>
      <c r="L331" s="1084" t="str">
        <f t="shared" si="448"/>
        <v>可動式ホーム柵設置に伴う建築工事</v>
      </c>
      <c r="M331" s="1084" t="str">
        <f t="shared" si="447"/>
        <v>隙間解消工事</v>
      </c>
      <c r="N331" s="1084" t="str">
        <f t="shared" si="447"/>
        <v>床仕上改造その他工事</v>
      </c>
      <c r="O331" s="1084" t="str">
        <f t="shared" si="447"/>
        <v>ア)東梅田駅の部-床仕上改造その他工事-機械設備工事</v>
      </c>
      <c r="P331" s="1084" t="str">
        <f t="shared" si="447"/>
        <v>イ)6号線堺筋本町駅の部-床仕上改造その他工事-機械設備工事</v>
      </c>
      <c r="Q331" s="1085">
        <f t="shared" si="447"/>
        <v>0</v>
      </c>
    </row>
    <row r="332" spans="1:17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7"/>
      <c r="O332" s="1297"/>
      <c r="P332" s="1297"/>
      <c r="Q332" s="1298"/>
    </row>
    <row r="333" spans="1:17" s="889" customFormat="1" ht="15" customHeight="1">
      <c r="A333" s="2793"/>
      <c r="B333" s="2755" t="s">
        <v>2529</v>
      </c>
      <c r="C333" s="692" t="s">
        <v>2530</v>
      </c>
      <c r="D333" s="692"/>
      <c r="E333" s="875"/>
      <c r="F333" s="900">
        <f t="shared" ref="F333:F339" si="449">SUM(G333:Q333)</f>
        <v>0</v>
      </c>
      <c r="G333" s="1068">
        <f t="shared" ref="G333:Q348" si="450">+G117+G26</f>
        <v>0</v>
      </c>
      <c r="H333" s="1068">
        <f t="shared" si="450"/>
        <v>0</v>
      </c>
      <c r="I333" s="1068">
        <f t="shared" si="450"/>
        <v>0</v>
      </c>
      <c r="J333" s="1068">
        <f t="shared" ref="J333:L333" si="451">+J117+J26</f>
        <v>0</v>
      </c>
      <c r="K333" s="1068">
        <f t="shared" si="451"/>
        <v>0</v>
      </c>
      <c r="L333" s="1068">
        <f t="shared" si="451"/>
        <v>0</v>
      </c>
      <c r="M333" s="1068">
        <f t="shared" si="450"/>
        <v>0</v>
      </c>
      <c r="N333" s="1068">
        <f t="shared" si="450"/>
        <v>0</v>
      </c>
      <c r="O333" s="1068">
        <f t="shared" si="450"/>
        <v>0</v>
      </c>
      <c r="P333" s="1068">
        <f t="shared" si="450"/>
        <v>0</v>
      </c>
      <c r="Q333" s="1069">
        <f t="shared" si="450"/>
        <v>0</v>
      </c>
    </row>
    <row r="334" spans="1:17" s="889" customFormat="1" ht="15" customHeight="1">
      <c r="A334" s="2753"/>
      <c r="B334" s="2756"/>
      <c r="C334" s="699" t="s">
        <v>2531</v>
      </c>
      <c r="D334" s="699"/>
      <c r="E334" s="903"/>
      <c r="F334" s="904">
        <f t="shared" si="449"/>
        <v>0</v>
      </c>
      <c r="G334" s="905">
        <f t="shared" si="450"/>
        <v>0</v>
      </c>
      <c r="H334" s="905">
        <f t="shared" si="450"/>
        <v>0</v>
      </c>
      <c r="I334" s="905">
        <f t="shared" si="450"/>
        <v>0</v>
      </c>
      <c r="J334" s="905">
        <f t="shared" ref="J334:L334" si="452">+J118+J27</f>
        <v>0</v>
      </c>
      <c r="K334" s="905">
        <f t="shared" si="452"/>
        <v>0</v>
      </c>
      <c r="L334" s="905">
        <f t="shared" si="452"/>
        <v>0</v>
      </c>
      <c r="M334" s="905">
        <f t="shared" si="450"/>
        <v>0</v>
      </c>
      <c r="N334" s="905">
        <f t="shared" si="450"/>
        <v>0</v>
      </c>
      <c r="O334" s="905">
        <f t="shared" si="450"/>
        <v>0</v>
      </c>
      <c r="P334" s="905">
        <f t="shared" si="450"/>
        <v>0</v>
      </c>
      <c r="Q334" s="906">
        <f t="shared" si="450"/>
        <v>0</v>
      </c>
    </row>
    <row r="335" spans="1:17" s="889" customFormat="1" ht="15" customHeight="1">
      <c r="A335" s="2753"/>
      <c r="B335" s="2756"/>
      <c r="C335" s="929" t="s">
        <v>2615</v>
      </c>
      <c r="D335" s="699"/>
      <c r="E335" s="903"/>
      <c r="F335" s="904">
        <f t="shared" si="449"/>
        <v>0</v>
      </c>
      <c r="G335" s="905">
        <f t="shared" si="450"/>
        <v>0</v>
      </c>
      <c r="H335" s="905">
        <f t="shared" si="450"/>
        <v>0</v>
      </c>
      <c r="I335" s="905">
        <f t="shared" si="450"/>
        <v>0</v>
      </c>
      <c r="J335" s="905">
        <f t="shared" ref="J335:L335" si="453">+J119+J28</f>
        <v>0</v>
      </c>
      <c r="K335" s="905">
        <f t="shared" si="453"/>
        <v>0</v>
      </c>
      <c r="L335" s="905">
        <f t="shared" si="453"/>
        <v>0</v>
      </c>
      <c r="M335" s="905">
        <f t="shared" si="450"/>
        <v>0</v>
      </c>
      <c r="N335" s="905">
        <f t="shared" si="450"/>
        <v>0</v>
      </c>
      <c r="O335" s="905">
        <f t="shared" si="450"/>
        <v>0</v>
      </c>
      <c r="P335" s="905">
        <f t="shared" si="450"/>
        <v>0</v>
      </c>
      <c r="Q335" s="906">
        <f t="shared" si="450"/>
        <v>0</v>
      </c>
    </row>
    <row r="336" spans="1:17" s="889" customFormat="1" ht="15" customHeight="1">
      <c r="A336" s="2753"/>
      <c r="B336" s="2757"/>
      <c r="C336" s="929" t="s">
        <v>2533</v>
      </c>
      <c r="D336" s="699"/>
      <c r="E336" s="903"/>
      <c r="F336" s="904">
        <f t="shared" si="449"/>
        <v>0</v>
      </c>
      <c r="G336" s="905">
        <f t="shared" si="450"/>
        <v>0</v>
      </c>
      <c r="H336" s="905">
        <f t="shared" si="450"/>
        <v>0</v>
      </c>
      <c r="I336" s="905">
        <f t="shared" si="450"/>
        <v>0</v>
      </c>
      <c r="J336" s="905">
        <f t="shared" ref="J336:L336" si="454">+J120+J29</f>
        <v>0</v>
      </c>
      <c r="K336" s="905">
        <f t="shared" si="454"/>
        <v>0</v>
      </c>
      <c r="L336" s="905">
        <f t="shared" si="454"/>
        <v>0</v>
      </c>
      <c r="M336" s="905">
        <f t="shared" si="450"/>
        <v>0</v>
      </c>
      <c r="N336" s="905">
        <f t="shared" si="450"/>
        <v>0</v>
      </c>
      <c r="O336" s="905">
        <f t="shared" si="450"/>
        <v>0</v>
      </c>
      <c r="P336" s="905">
        <f t="shared" si="450"/>
        <v>0</v>
      </c>
      <c r="Q336" s="906">
        <f t="shared" si="450"/>
        <v>0</v>
      </c>
    </row>
    <row r="337" spans="1:17" s="889" customFormat="1" ht="15" customHeight="1">
      <c r="A337" s="2753"/>
      <c r="B337" s="2758" t="s">
        <v>2534</v>
      </c>
      <c r="C337" s="698" t="s">
        <v>2616</v>
      </c>
      <c r="D337" s="699"/>
      <c r="E337" s="903"/>
      <c r="F337" s="904">
        <f t="shared" si="449"/>
        <v>0</v>
      </c>
      <c r="G337" s="1293">
        <f t="shared" si="450"/>
        <v>0</v>
      </c>
      <c r="H337" s="1293">
        <f t="shared" si="450"/>
        <v>0</v>
      </c>
      <c r="I337" s="1293">
        <f t="shared" si="450"/>
        <v>0</v>
      </c>
      <c r="J337" s="1293">
        <f t="shared" ref="J337:L337" si="455">+J121+J30</f>
        <v>0</v>
      </c>
      <c r="K337" s="1293">
        <f t="shared" si="455"/>
        <v>0</v>
      </c>
      <c r="L337" s="1293">
        <f t="shared" si="455"/>
        <v>0</v>
      </c>
      <c r="M337" s="1293">
        <f t="shared" si="450"/>
        <v>0</v>
      </c>
      <c r="N337" s="1293">
        <f t="shared" si="450"/>
        <v>0</v>
      </c>
      <c r="O337" s="1293">
        <f t="shared" si="450"/>
        <v>0</v>
      </c>
      <c r="P337" s="1293">
        <f t="shared" si="450"/>
        <v>0</v>
      </c>
      <c r="Q337" s="1294">
        <f t="shared" si="450"/>
        <v>0</v>
      </c>
    </row>
    <row r="338" spans="1:17" s="889" customFormat="1" ht="13.5" customHeight="1">
      <c r="A338" s="2753"/>
      <c r="B338" s="2756"/>
      <c r="C338" s="698" t="s">
        <v>2536</v>
      </c>
      <c r="D338" s="699"/>
      <c r="E338" s="903"/>
      <c r="F338" s="904">
        <f t="shared" si="449"/>
        <v>0</v>
      </c>
      <c r="G338" s="1293">
        <f t="shared" si="450"/>
        <v>0</v>
      </c>
      <c r="H338" s="1293">
        <f t="shared" si="450"/>
        <v>0</v>
      </c>
      <c r="I338" s="1293">
        <f t="shared" si="450"/>
        <v>0</v>
      </c>
      <c r="J338" s="1293">
        <f t="shared" ref="J338:L338" si="456">+J122+J31</f>
        <v>0</v>
      </c>
      <c r="K338" s="1293">
        <f t="shared" si="456"/>
        <v>0</v>
      </c>
      <c r="L338" s="1293">
        <f t="shared" si="456"/>
        <v>0</v>
      </c>
      <c r="M338" s="1293">
        <f t="shared" si="450"/>
        <v>0</v>
      </c>
      <c r="N338" s="1293">
        <f t="shared" si="450"/>
        <v>0</v>
      </c>
      <c r="O338" s="1293">
        <f t="shared" si="450"/>
        <v>0</v>
      </c>
      <c r="P338" s="1293">
        <f t="shared" si="450"/>
        <v>0</v>
      </c>
      <c r="Q338" s="1294">
        <f t="shared" si="450"/>
        <v>0</v>
      </c>
    </row>
    <row r="339" spans="1:17" s="889" customFormat="1" ht="13.5" customHeight="1">
      <c r="A339" s="2753"/>
      <c r="B339" s="2756"/>
      <c r="C339" s="699" t="s">
        <v>2537</v>
      </c>
      <c r="D339" s="699"/>
      <c r="E339" s="903"/>
      <c r="F339" s="904">
        <f t="shared" si="449"/>
        <v>0</v>
      </c>
      <c r="G339" s="1293">
        <f t="shared" si="450"/>
        <v>0</v>
      </c>
      <c r="H339" s="1293">
        <f t="shared" si="450"/>
        <v>0</v>
      </c>
      <c r="I339" s="1293">
        <f t="shared" si="450"/>
        <v>0</v>
      </c>
      <c r="J339" s="1293">
        <f t="shared" ref="J339:L339" si="457">+J123+J32</f>
        <v>0</v>
      </c>
      <c r="K339" s="1293">
        <f t="shared" si="457"/>
        <v>0</v>
      </c>
      <c r="L339" s="1293">
        <f t="shared" si="457"/>
        <v>0</v>
      </c>
      <c r="M339" s="1293">
        <f t="shared" si="450"/>
        <v>0</v>
      </c>
      <c r="N339" s="1293">
        <f t="shared" si="450"/>
        <v>0</v>
      </c>
      <c r="O339" s="1293">
        <f t="shared" si="450"/>
        <v>0</v>
      </c>
      <c r="P339" s="1293">
        <f t="shared" si="450"/>
        <v>0</v>
      </c>
      <c r="Q339" s="1294">
        <f t="shared" si="450"/>
        <v>0</v>
      </c>
    </row>
    <row r="340" spans="1:17" s="889" customFormat="1" ht="13.5" customHeight="1">
      <c r="A340" s="2753"/>
      <c r="B340" s="2756"/>
      <c r="C340" s="699" t="s">
        <v>2617</v>
      </c>
      <c r="D340" s="699"/>
      <c r="E340" s="903"/>
      <c r="F340" s="904"/>
      <c r="G340" s="905">
        <f t="shared" si="450"/>
        <v>0</v>
      </c>
      <c r="H340" s="905">
        <f t="shared" si="450"/>
        <v>0</v>
      </c>
      <c r="I340" s="905">
        <f t="shared" si="450"/>
        <v>0</v>
      </c>
      <c r="J340" s="905">
        <f t="shared" ref="J340:L340" si="458">+J124+J33</f>
        <v>0</v>
      </c>
      <c r="K340" s="905">
        <f t="shared" si="458"/>
        <v>0</v>
      </c>
      <c r="L340" s="905">
        <f t="shared" si="458"/>
        <v>0</v>
      </c>
      <c r="M340" s="905">
        <f t="shared" si="450"/>
        <v>0</v>
      </c>
      <c r="N340" s="905">
        <f t="shared" si="450"/>
        <v>0</v>
      </c>
      <c r="O340" s="905">
        <f t="shared" si="450"/>
        <v>0</v>
      </c>
      <c r="P340" s="905">
        <f t="shared" si="450"/>
        <v>0</v>
      </c>
      <c r="Q340" s="906">
        <f t="shared" si="450"/>
        <v>0</v>
      </c>
    </row>
    <row r="341" spans="1:17" s="889" customFormat="1" ht="13.5" customHeight="1">
      <c r="A341" s="2753"/>
      <c r="B341" s="2756"/>
      <c r="C341" s="699" t="s">
        <v>2539</v>
      </c>
      <c r="D341" s="699"/>
      <c r="E341" s="903"/>
      <c r="F341" s="904"/>
      <c r="G341" s="905">
        <f t="shared" si="450"/>
        <v>0</v>
      </c>
      <c r="H341" s="905">
        <f t="shared" si="450"/>
        <v>0</v>
      </c>
      <c r="I341" s="905">
        <f t="shared" si="450"/>
        <v>0</v>
      </c>
      <c r="J341" s="905">
        <f t="shared" ref="J341:L341" si="459">+J125+J34</f>
        <v>0</v>
      </c>
      <c r="K341" s="905">
        <f t="shared" si="459"/>
        <v>0</v>
      </c>
      <c r="L341" s="905">
        <f t="shared" si="459"/>
        <v>0</v>
      </c>
      <c r="M341" s="905">
        <f t="shared" si="450"/>
        <v>0</v>
      </c>
      <c r="N341" s="905">
        <f t="shared" si="450"/>
        <v>0</v>
      </c>
      <c r="O341" s="905">
        <f t="shared" si="450"/>
        <v>0</v>
      </c>
      <c r="P341" s="905">
        <f t="shared" si="450"/>
        <v>0</v>
      </c>
      <c r="Q341" s="906">
        <f t="shared" si="450"/>
        <v>0</v>
      </c>
    </row>
    <row r="342" spans="1:17" s="889" customFormat="1" ht="13.5" customHeight="1">
      <c r="A342" s="2753"/>
      <c r="B342" s="2756"/>
      <c r="C342" s="699" t="s">
        <v>2540</v>
      </c>
      <c r="D342" s="699"/>
      <c r="E342" s="903"/>
      <c r="F342" s="904">
        <f t="shared" ref="F342:F352" si="460">SUM(G342:Q342)</f>
        <v>0</v>
      </c>
      <c r="G342" s="1293">
        <f t="shared" si="450"/>
        <v>0</v>
      </c>
      <c r="H342" s="1293">
        <f t="shared" si="450"/>
        <v>0</v>
      </c>
      <c r="I342" s="1293">
        <f t="shared" si="450"/>
        <v>0</v>
      </c>
      <c r="J342" s="1293">
        <f t="shared" ref="J342:L342" si="461">+J126+J35</f>
        <v>0</v>
      </c>
      <c r="K342" s="1293">
        <f t="shared" si="461"/>
        <v>0</v>
      </c>
      <c r="L342" s="1293">
        <f t="shared" si="461"/>
        <v>0</v>
      </c>
      <c r="M342" s="1293">
        <f t="shared" si="450"/>
        <v>0</v>
      </c>
      <c r="N342" s="1293">
        <f t="shared" si="450"/>
        <v>0</v>
      </c>
      <c r="O342" s="1293">
        <f t="shared" si="450"/>
        <v>0</v>
      </c>
      <c r="P342" s="1293">
        <f t="shared" si="450"/>
        <v>0</v>
      </c>
      <c r="Q342" s="1294">
        <f t="shared" si="450"/>
        <v>0</v>
      </c>
    </row>
    <row r="343" spans="1:17" s="889" customFormat="1" ht="13.5" customHeight="1">
      <c r="A343" s="2753"/>
      <c r="B343" s="2756"/>
      <c r="C343" s="930" t="s">
        <v>2618</v>
      </c>
      <c r="D343" s="699"/>
      <c r="E343" s="903"/>
      <c r="F343" s="904">
        <f t="shared" si="460"/>
        <v>0</v>
      </c>
      <c r="G343" s="905">
        <f t="shared" si="450"/>
        <v>0</v>
      </c>
      <c r="H343" s="905">
        <f t="shared" si="450"/>
        <v>0</v>
      </c>
      <c r="I343" s="905">
        <f t="shared" si="450"/>
        <v>0</v>
      </c>
      <c r="J343" s="905">
        <f t="shared" ref="J343:L343" si="462">+J127+J36</f>
        <v>0</v>
      </c>
      <c r="K343" s="905">
        <f t="shared" si="462"/>
        <v>0</v>
      </c>
      <c r="L343" s="905">
        <f t="shared" si="462"/>
        <v>0</v>
      </c>
      <c r="M343" s="905">
        <f t="shared" si="450"/>
        <v>0</v>
      </c>
      <c r="N343" s="905">
        <f t="shared" si="450"/>
        <v>0</v>
      </c>
      <c r="O343" s="905">
        <f t="shared" si="450"/>
        <v>0</v>
      </c>
      <c r="P343" s="905">
        <f t="shared" si="450"/>
        <v>0</v>
      </c>
      <c r="Q343" s="906">
        <f t="shared" si="450"/>
        <v>0</v>
      </c>
    </row>
    <row r="344" spans="1:17" s="889" customFormat="1" ht="13.5" customHeight="1">
      <c r="A344" s="2753"/>
      <c r="B344" s="2756"/>
      <c r="C344" s="931" t="s">
        <v>2619</v>
      </c>
      <c r="D344" s="699"/>
      <c r="E344" s="903"/>
      <c r="F344" s="904">
        <f t="shared" si="460"/>
        <v>0</v>
      </c>
      <c r="G344" s="905">
        <f t="shared" si="450"/>
        <v>0</v>
      </c>
      <c r="H344" s="905">
        <f t="shared" si="450"/>
        <v>0</v>
      </c>
      <c r="I344" s="905">
        <f t="shared" si="450"/>
        <v>0</v>
      </c>
      <c r="J344" s="905">
        <f t="shared" ref="J344:L344" si="463">+J128+J37</f>
        <v>0</v>
      </c>
      <c r="K344" s="905">
        <f t="shared" si="463"/>
        <v>0</v>
      </c>
      <c r="L344" s="905">
        <f t="shared" si="463"/>
        <v>0</v>
      </c>
      <c r="M344" s="905">
        <f t="shared" si="450"/>
        <v>0</v>
      </c>
      <c r="N344" s="905">
        <f t="shared" si="450"/>
        <v>0</v>
      </c>
      <c r="O344" s="905">
        <f t="shared" si="450"/>
        <v>0</v>
      </c>
      <c r="P344" s="905">
        <f t="shared" si="450"/>
        <v>0</v>
      </c>
      <c r="Q344" s="906">
        <f t="shared" si="450"/>
        <v>0</v>
      </c>
    </row>
    <row r="345" spans="1:17" s="889" customFormat="1" ht="13.5" customHeight="1">
      <c r="A345" s="2753"/>
      <c r="B345" s="2757"/>
      <c r="C345" s="699" t="s">
        <v>2543</v>
      </c>
      <c r="D345" s="699"/>
      <c r="E345" s="903"/>
      <c r="F345" s="904">
        <f t="shared" si="460"/>
        <v>0</v>
      </c>
      <c r="G345" s="1293">
        <f t="shared" si="450"/>
        <v>0</v>
      </c>
      <c r="H345" s="1293">
        <f t="shared" si="450"/>
        <v>0</v>
      </c>
      <c r="I345" s="1293">
        <f t="shared" si="450"/>
        <v>0</v>
      </c>
      <c r="J345" s="1293">
        <f t="shared" ref="J345:L345" si="464">+J129+J38</f>
        <v>0</v>
      </c>
      <c r="K345" s="1293">
        <f t="shared" si="464"/>
        <v>0</v>
      </c>
      <c r="L345" s="1293">
        <f t="shared" si="464"/>
        <v>0</v>
      </c>
      <c r="M345" s="1293">
        <f t="shared" si="450"/>
        <v>0</v>
      </c>
      <c r="N345" s="1293">
        <f t="shared" si="450"/>
        <v>0</v>
      </c>
      <c r="O345" s="1293">
        <f t="shared" si="450"/>
        <v>0</v>
      </c>
      <c r="P345" s="1293">
        <f t="shared" si="450"/>
        <v>0</v>
      </c>
      <c r="Q345" s="1294">
        <f t="shared" si="450"/>
        <v>0</v>
      </c>
    </row>
    <row r="346" spans="1:17" s="889" customFormat="1" ht="13.5" customHeight="1">
      <c r="A346" s="2753"/>
      <c r="B346" s="2758" t="s">
        <v>2544</v>
      </c>
      <c r="C346" s="929" t="s">
        <v>2545</v>
      </c>
      <c r="D346" s="699"/>
      <c r="E346" s="903"/>
      <c r="F346" s="904">
        <f t="shared" si="460"/>
        <v>0</v>
      </c>
      <c r="G346" s="1293">
        <f t="shared" si="450"/>
        <v>0</v>
      </c>
      <c r="H346" s="1293">
        <f t="shared" si="450"/>
        <v>0</v>
      </c>
      <c r="I346" s="1293">
        <f t="shared" si="450"/>
        <v>0</v>
      </c>
      <c r="J346" s="1293">
        <f t="shared" ref="J346:L346" si="465">+J130+J39</f>
        <v>0</v>
      </c>
      <c r="K346" s="1293">
        <f t="shared" si="465"/>
        <v>0</v>
      </c>
      <c r="L346" s="1293">
        <f t="shared" si="465"/>
        <v>0</v>
      </c>
      <c r="M346" s="1293">
        <f t="shared" si="450"/>
        <v>0</v>
      </c>
      <c r="N346" s="1293">
        <f t="shared" si="450"/>
        <v>0</v>
      </c>
      <c r="O346" s="1293">
        <f t="shared" si="450"/>
        <v>0</v>
      </c>
      <c r="P346" s="1293">
        <f t="shared" si="450"/>
        <v>0</v>
      </c>
      <c r="Q346" s="1294">
        <f t="shared" si="450"/>
        <v>0</v>
      </c>
    </row>
    <row r="347" spans="1:17" s="889" customFormat="1" ht="13.5" customHeight="1">
      <c r="A347" s="2753"/>
      <c r="B347" s="2756"/>
      <c r="C347" s="929" t="s">
        <v>2546</v>
      </c>
      <c r="D347" s="699"/>
      <c r="E347" s="903"/>
      <c r="F347" s="904">
        <f t="shared" si="460"/>
        <v>0</v>
      </c>
      <c r="G347" s="905">
        <f t="shared" si="450"/>
        <v>0</v>
      </c>
      <c r="H347" s="905">
        <f t="shared" si="450"/>
        <v>0</v>
      </c>
      <c r="I347" s="905">
        <f t="shared" si="450"/>
        <v>0</v>
      </c>
      <c r="J347" s="905">
        <f t="shared" ref="J347:L347" si="466">+J131+J40</f>
        <v>0</v>
      </c>
      <c r="K347" s="905">
        <f t="shared" si="466"/>
        <v>0</v>
      </c>
      <c r="L347" s="905">
        <f t="shared" si="466"/>
        <v>0</v>
      </c>
      <c r="M347" s="905">
        <f t="shared" si="450"/>
        <v>0</v>
      </c>
      <c r="N347" s="905">
        <f t="shared" si="450"/>
        <v>0</v>
      </c>
      <c r="O347" s="905">
        <f t="shared" si="450"/>
        <v>0</v>
      </c>
      <c r="P347" s="905">
        <f t="shared" si="450"/>
        <v>0</v>
      </c>
      <c r="Q347" s="906">
        <f t="shared" si="450"/>
        <v>0</v>
      </c>
    </row>
    <row r="348" spans="1:17" s="889" customFormat="1" ht="13.5" customHeight="1">
      <c r="A348" s="2753"/>
      <c r="B348" s="2756"/>
      <c r="C348" s="699" t="s">
        <v>2547</v>
      </c>
      <c r="D348" s="699"/>
      <c r="E348" s="903"/>
      <c r="F348" s="904">
        <f t="shared" si="460"/>
        <v>0</v>
      </c>
      <c r="G348" s="905">
        <f t="shared" si="450"/>
        <v>0</v>
      </c>
      <c r="H348" s="905">
        <f t="shared" si="450"/>
        <v>0</v>
      </c>
      <c r="I348" s="905">
        <f t="shared" si="450"/>
        <v>0</v>
      </c>
      <c r="J348" s="905">
        <f t="shared" ref="J348:L348" si="467">+J132+J41</f>
        <v>0</v>
      </c>
      <c r="K348" s="905">
        <f t="shared" si="467"/>
        <v>0</v>
      </c>
      <c r="L348" s="905">
        <f t="shared" si="467"/>
        <v>0</v>
      </c>
      <c r="M348" s="905">
        <f t="shared" si="450"/>
        <v>0</v>
      </c>
      <c r="N348" s="905">
        <f t="shared" si="450"/>
        <v>0</v>
      </c>
      <c r="O348" s="905">
        <f t="shared" si="450"/>
        <v>0</v>
      </c>
      <c r="P348" s="905">
        <f t="shared" si="450"/>
        <v>0</v>
      </c>
      <c r="Q348" s="906">
        <f t="shared" si="450"/>
        <v>0</v>
      </c>
    </row>
    <row r="349" spans="1:17" s="889" customFormat="1" ht="13.5" customHeight="1">
      <c r="A349" s="2753"/>
      <c r="B349" s="2756"/>
      <c r="C349" s="699" t="s">
        <v>2710</v>
      </c>
      <c r="D349" s="699"/>
      <c r="E349" s="903"/>
      <c r="F349" s="904">
        <f t="shared" si="460"/>
        <v>0</v>
      </c>
      <c r="G349" s="1293">
        <f t="shared" ref="G349:Q352" si="468">+G133+G42</f>
        <v>0</v>
      </c>
      <c r="H349" s="1293">
        <f t="shared" si="468"/>
        <v>0</v>
      </c>
      <c r="I349" s="1293">
        <f t="shared" si="468"/>
        <v>0</v>
      </c>
      <c r="J349" s="1293">
        <f t="shared" ref="J349:L349" si="469">+J133+J42</f>
        <v>0</v>
      </c>
      <c r="K349" s="1293">
        <f t="shared" si="469"/>
        <v>0</v>
      </c>
      <c r="L349" s="1293">
        <f t="shared" si="469"/>
        <v>0</v>
      </c>
      <c r="M349" s="1293">
        <f t="shared" si="468"/>
        <v>0</v>
      </c>
      <c r="N349" s="1293">
        <f t="shared" si="468"/>
        <v>0</v>
      </c>
      <c r="O349" s="1293">
        <f t="shared" si="468"/>
        <v>0</v>
      </c>
      <c r="P349" s="1293">
        <f t="shared" si="468"/>
        <v>0</v>
      </c>
      <c r="Q349" s="1294">
        <f t="shared" si="468"/>
        <v>0</v>
      </c>
    </row>
    <row r="350" spans="1:17" s="889" customFormat="1" ht="13.5" customHeight="1">
      <c r="A350" s="2753"/>
      <c r="B350" s="2756"/>
      <c r="C350" s="933" t="s">
        <v>2549</v>
      </c>
      <c r="D350" s="933"/>
      <c r="E350" s="934"/>
      <c r="F350" s="904">
        <f t="shared" si="460"/>
        <v>381891801</v>
      </c>
      <c r="G350" s="1293">
        <f t="shared" si="468"/>
        <v>30975116</v>
      </c>
      <c r="H350" s="1293">
        <f t="shared" si="468"/>
        <v>21555646</v>
      </c>
      <c r="I350" s="1293">
        <f t="shared" si="468"/>
        <v>2052481</v>
      </c>
      <c r="J350" s="1293">
        <f t="shared" ref="J350:L350" si="470">+J134+J43</f>
        <v>108957216</v>
      </c>
      <c r="K350" s="1293">
        <f t="shared" si="470"/>
        <v>9889813</v>
      </c>
      <c r="L350" s="1293">
        <f t="shared" si="470"/>
        <v>41900722</v>
      </c>
      <c r="M350" s="1293">
        <f t="shared" si="468"/>
        <v>27426558</v>
      </c>
      <c r="N350" s="1293">
        <f t="shared" si="468"/>
        <v>136923335</v>
      </c>
      <c r="O350" s="1293">
        <f t="shared" si="468"/>
        <v>1085299</v>
      </c>
      <c r="P350" s="1293">
        <f t="shared" si="468"/>
        <v>1125615</v>
      </c>
      <c r="Q350" s="1294">
        <f t="shared" si="468"/>
        <v>0</v>
      </c>
    </row>
    <row r="351" spans="1:17" s="889" customFormat="1" ht="13.5" customHeight="1">
      <c r="A351" s="2753"/>
      <c r="B351" s="2756"/>
      <c r="C351" s="933" t="s">
        <v>2550</v>
      </c>
      <c r="D351" s="933"/>
      <c r="E351" s="934"/>
      <c r="F351" s="904">
        <f t="shared" si="460"/>
        <v>28012179</v>
      </c>
      <c r="G351" s="1293">
        <f t="shared" si="468"/>
        <v>4462531</v>
      </c>
      <c r="H351" s="1293">
        <f t="shared" si="468"/>
        <v>763237</v>
      </c>
      <c r="I351" s="1293">
        <f t="shared" si="468"/>
        <v>79180</v>
      </c>
      <c r="J351" s="1293">
        <f t="shared" ref="J351:L351" si="471">+J135+J44</f>
        <v>5577726</v>
      </c>
      <c r="K351" s="1293">
        <f t="shared" si="471"/>
        <v>418286</v>
      </c>
      <c r="L351" s="1293">
        <f t="shared" si="471"/>
        <v>5436483</v>
      </c>
      <c r="M351" s="1293">
        <f t="shared" si="468"/>
        <v>1487376</v>
      </c>
      <c r="N351" s="1293">
        <f t="shared" si="468"/>
        <v>9520969</v>
      </c>
      <c r="O351" s="1293">
        <f t="shared" si="468"/>
        <v>132205</v>
      </c>
      <c r="P351" s="1293">
        <f t="shared" si="468"/>
        <v>134186</v>
      </c>
      <c r="Q351" s="1294">
        <f t="shared" si="468"/>
        <v>0</v>
      </c>
    </row>
    <row r="352" spans="1:17" s="889" customFormat="1" ht="13.5" customHeight="1">
      <c r="A352" s="2754"/>
      <c r="B352" s="2759"/>
      <c r="C352" s="937" t="s">
        <v>2551</v>
      </c>
      <c r="D352" s="937"/>
      <c r="E352" s="938"/>
      <c r="F352" s="939">
        <f t="shared" si="460"/>
        <v>0</v>
      </c>
      <c r="G352" s="1299">
        <f t="shared" si="468"/>
        <v>0</v>
      </c>
      <c r="H352" s="1299">
        <f t="shared" si="468"/>
        <v>0</v>
      </c>
      <c r="I352" s="1299">
        <f t="shared" si="468"/>
        <v>0</v>
      </c>
      <c r="J352" s="1299">
        <f t="shared" ref="J352:L352" si="472">+J136+J45</f>
        <v>0</v>
      </c>
      <c r="K352" s="1299">
        <f t="shared" si="472"/>
        <v>0</v>
      </c>
      <c r="L352" s="1299">
        <f t="shared" si="472"/>
        <v>0</v>
      </c>
      <c r="M352" s="1299">
        <f t="shared" si="468"/>
        <v>0</v>
      </c>
      <c r="N352" s="1299">
        <f t="shared" si="468"/>
        <v>0</v>
      </c>
      <c r="O352" s="1299">
        <f t="shared" si="468"/>
        <v>0</v>
      </c>
      <c r="P352" s="1299">
        <f t="shared" si="468"/>
        <v>0</v>
      </c>
      <c r="Q352" s="1300">
        <f t="shared" si="468"/>
        <v>0</v>
      </c>
    </row>
    <row r="353" spans="1:17" s="889" customFormat="1" ht="13.5" customHeight="1">
      <c r="A353" s="880"/>
      <c r="B353" s="880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37"/>
      <c r="O353" s="1037"/>
      <c r="P353" s="1037"/>
      <c r="Q353" s="1091" t="s">
        <v>2711</v>
      </c>
    </row>
    <row r="354" spans="1:17" s="889" customFormat="1" ht="13.5" customHeight="1">
      <c r="A354" s="880"/>
      <c r="B354" s="880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37"/>
      <c r="O354" s="1037"/>
      <c r="P354" s="1037"/>
      <c r="Q354" s="1091"/>
    </row>
    <row r="355" spans="1:17" s="889" customFormat="1" ht="13.5" customHeight="1">
      <c r="A355" s="870"/>
      <c r="B355" s="871"/>
      <c r="C355" s="871"/>
      <c r="D355" s="2767" t="s">
        <v>2623</v>
      </c>
      <c r="E355" s="2767" t="s">
        <v>2624</v>
      </c>
      <c r="F355" s="1083" t="s">
        <v>2505</v>
      </c>
      <c r="G355" s="1295" t="str">
        <f>+G302</f>
        <v>可動式ホーム柵設置に伴う建築工事</v>
      </c>
      <c r="H355" s="1084" t="str">
        <f t="shared" ref="H355:Q355" si="473">+H302</f>
        <v>隙間解消工事</v>
      </c>
      <c r="I355" s="1084" t="str">
        <f t="shared" si="473"/>
        <v>列車停止位置変更に伴う建築工事</v>
      </c>
      <c r="J355" s="1084" t="str">
        <f t="shared" ref="J355:L355" si="474">+J302</f>
        <v>床仕上改造その他工事</v>
      </c>
      <c r="K355" s="1084" t="str">
        <f t="shared" si="474"/>
        <v>整列乗車対策工事</v>
      </c>
      <c r="L355" s="1084" t="str">
        <f t="shared" si="474"/>
        <v>可動式ホーム柵設置に伴う建築工事</v>
      </c>
      <c r="M355" s="1084" t="str">
        <f t="shared" si="473"/>
        <v>隙間解消工事</v>
      </c>
      <c r="N355" s="1084" t="str">
        <f t="shared" si="473"/>
        <v>床仕上改造その他工事</v>
      </c>
      <c r="O355" s="1084" t="str">
        <f t="shared" si="473"/>
        <v>ア)東梅田駅の部-床仕上改造その他工事-機械設備工事</v>
      </c>
      <c r="P355" s="1084" t="str">
        <f t="shared" si="473"/>
        <v>イ)6号線堺筋本町駅の部-床仕上改造その他工事-機械設備工事</v>
      </c>
      <c r="Q355" s="1085">
        <f t="shared" si="473"/>
        <v>0</v>
      </c>
    </row>
    <row r="356" spans="1:17" s="889" customFormat="1" ht="13.5" customHeight="1">
      <c r="A356" s="2769" t="s">
        <v>2625</v>
      </c>
      <c r="B356" s="2770"/>
      <c r="C356" s="2771"/>
      <c r="D356" s="2768"/>
      <c r="E356" s="2768"/>
      <c r="F356" s="1092"/>
      <c r="G356" s="1093"/>
      <c r="H356" s="1093"/>
      <c r="I356" s="1093"/>
      <c r="J356" s="1093"/>
      <c r="K356" s="1093"/>
      <c r="L356" s="1093"/>
      <c r="M356" s="1093"/>
      <c r="N356" s="1093"/>
      <c r="O356" s="1093"/>
      <c r="P356" s="1093"/>
      <c r="Q356" s="1094"/>
    </row>
    <row r="357" spans="1:17" s="889" customFormat="1" ht="13.5" customHeight="1">
      <c r="A357" s="2772"/>
      <c r="B357" s="1095" t="s">
        <v>2712</v>
      </c>
      <c r="C357" s="1096"/>
      <c r="D357" s="1097"/>
      <c r="E357" s="1098"/>
      <c r="F357" s="1099">
        <f t="shared" ref="F357:F364" si="475">SUM(G357:Q357)</f>
        <v>0</v>
      </c>
      <c r="G357" s="1100">
        <f>SUM(G333:G345)+G349</f>
        <v>0</v>
      </c>
      <c r="H357" s="1100">
        <f t="shared" ref="H357:Q357" si="476">SUM(H333:H345)+H349</f>
        <v>0</v>
      </c>
      <c r="I357" s="1100">
        <f t="shared" si="476"/>
        <v>0</v>
      </c>
      <c r="J357" s="1100">
        <f t="shared" ref="J357:L357" si="477">SUM(J333:J345)+J349</f>
        <v>0</v>
      </c>
      <c r="K357" s="1100">
        <f t="shared" si="477"/>
        <v>0</v>
      </c>
      <c r="L357" s="1100">
        <f t="shared" si="477"/>
        <v>0</v>
      </c>
      <c r="M357" s="1100">
        <f t="shared" si="476"/>
        <v>0</v>
      </c>
      <c r="N357" s="1100">
        <f t="shared" si="476"/>
        <v>0</v>
      </c>
      <c r="O357" s="1100">
        <f t="shared" si="476"/>
        <v>0</v>
      </c>
      <c r="P357" s="1100">
        <f t="shared" si="476"/>
        <v>0</v>
      </c>
      <c r="Q357" s="1100">
        <f t="shared" si="476"/>
        <v>0</v>
      </c>
    </row>
    <row r="358" spans="1:17" s="889" customFormat="1" ht="13.5" customHeight="1">
      <c r="A358" s="2773"/>
      <c r="B358" s="2758" t="s">
        <v>2529</v>
      </c>
      <c r="C358" s="1101" t="s">
        <v>2530</v>
      </c>
      <c r="D358" s="1102">
        <v>1</v>
      </c>
      <c r="E358" s="1103" t="s">
        <v>2627</v>
      </c>
      <c r="F358" s="904">
        <f t="shared" si="475"/>
        <v>0</v>
      </c>
      <c r="G358" s="905">
        <f t="shared" ref="G358:Q358" si="478">IF(G304="積上げ",0,+G333)</f>
        <v>0</v>
      </c>
      <c r="H358" s="905">
        <f t="shared" si="478"/>
        <v>0</v>
      </c>
      <c r="I358" s="905">
        <f t="shared" si="478"/>
        <v>0</v>
      </c>
      <c r="J358" s="905">
        <f t="shared" ref="J358:L358" si="479">IF(J304="積上げ",0,+J333)</f>
        <v>0</v>
      </c>
      <c r="K358" s="905">
        <f t="shared" si="479"/>
        <v>0</v>
      </c>
      <c r="L358" s="905">
        <f t="shared" si="479"/>
        <v>0</v>
      </c>
      <c r="M358" s="905">
        <f t="shared" si="478"/>
        <v>0</v>
      </c>
      <c r="N358" s="905">
        <f t="shared" si="478"/>
        <v>0</v>
      </c>
      <c r="O358" s="905">
        <f t="shared" si="478"/>
        <v>0</v>
      </c>
      <c r="P358" s="905">
        <f t="shared" si="478"/>
        <v>0</v>
      </c>
      <c r="Q358" s="905">
        <f t="shared" si="478"/>
        <v>0</v>
      </c>
    </row>
    <row r="359" spans="1:17" s="889" customFormat="1" ht="13.5" customHeight="1">
      <c r="A359" s="2773"/>
      <c r="B359" s="2756"/>
      <c r="C359" s="1101" t="s">
        <v>2531</v>
      </c>
      <c r="D359" s="1102">
        <v>1</v>
      </c>
      <c r="E359" s="1103" t="s">
        <v>2627</v>
      </c>
      <c r="F359" s="904">
        <f t="shared" si="475"/>
        <v>0</v>
      </c>
      <c r="G359" s="905">
        <f t="shared" ref="G359:Q359" si="480">IF(G304="積上げ",0,+G334)</f>
        <v>0</v>
      </c>
      <c r="H359" s="905">
        <f t="shared" si="480"/>
        <v>0</v>
      </c>
      <c r="I359" s="905">
        <f t="shared" si="480"/>
        <v>0</v>
      </c>
      <c r="J359" s="905">
        <f t="shared" ref="J359:L359" si="481">IF(J304="積上げ",0,+J334)</f>
        <v>0</v>
      </c>
      <c r="K359" s="905">
        <f t="shared" si="481"/>
        <v>0</v>
      </c>
      <c r="L359" s="905">
        <f t="shared" si="481"/>
        <v>0</v>
      </c>
      <c r="M359" s="905">
        <f t="shared" si="480"/>
        <v>0</v>
      </c>
      <c r="N359" s="905">
        <f t="shared" si="480"/>
        <v>0</v>
      </c>
      <c r="O359" s="905">
        <f t="shared" si="480"/>
        <v>0</v>
      </c>
      <c r="P359" s="905">
        <f t="shared" si="480"/>
        <v>0</v>
      </c>
      <c r="Q359" s="905">
        <f t="shared" si="480"/>
        <v>0</v>
      </c>
    </row>
    <row r="360" spans="1:17" s="889" customFormat="1" ht="14">
      <c r="A360" s="2773"/>
      <c r="B360" s="2756"/>
      <c r="C360" s="1101" t="s">
        <v>2628</v>
      </c>
      <c r="D360" s="1102">
        <v>0.9</v>
      </c>
      <c r="E360" s="1103" t="s">
        <v>2627</v>
      </c>
      <c r="F360" s="904">
        <f t="shared" si="475"/>
        <v>0</v>
      </c>
      <c r="G360" s="905">
        <f t="shared" ref="G360:Q360" si="482">IF(G304="積上げ",0,+G335)</f>
        <v>0</v>
      </c>
      <c r="H360" s="905">
        <f t="shared" si="482"/>
        <v>0</v>
      </c>
      <c r="I360" s="905">
        <f t="shared" si="482"/>
        <v>0</v>
      </c>
      <c r="J360" s="905">
        <f t="shared" ref="J360:L360" si="483">IF(J304="積上げ",0,+J335)</f>
        <v>0</v>
      </c>
      <c r="K360" s="905">
        <f t="shared" si="483"/>
        <v>0</v>
      </c>
      <c r="L360" s="905">
        <f t="shared" si="483"/>
        <v>0</v>
      </c>
      <c r="M360" s="905">
        <f t="shared" si="482"/>
        <v>0</v>
      </c>
      <c r="N360" s="905">
        <f t="shared" si="482"/>
        <v>0</v>
      </c>
      <c r="O360" s="905">
        <f t="shared" si="482"/>
        <v>0</v>
      </c>
      <c r="P360" s="905">
        <f t="shared" si="482"/>
        <v>0</v>
      </c>
      <c r="Q360" s="905">
        <f t="shared" si="482"/>
        <v>0</v>
      </c>
    </row>
    <row r="361" spans="1:17" s="889" customFormat="1" ht="14">
      <c r="A361" s="2773"/>
      <c r="B361" s="2757"/>
      <c r="C361" s="1101" t="s">
        <v>2629</v>
      </c>
      <c r="D361" s="1102">
        <v>0.9</v>
      </c>
      <c r="E361" s="1103" t="s">
        <v>2627</v>
      </c>
      <c r="F361" s="904">
        <f t="shared" si="475"/>
        <v>0</v>
      </c>
      <c r="G361" s="905">
        <f t="shared" ref="G361:Q361" si="484">IF(G304="積上げ",0,+G336)</f>
        <v>0</v>
      </c>
      <c r="H361" s="905">
        <f t="shared" si="484"/>
        <v>0</v>
      </c>
      <c r="I361" s="905">
        <f t="shared" si="484"/>
        <v>0</v>
      </c>
      <c r="J361" s="905">
        <f t="shared" ref="J361:L361" si="485">IF(J304="積上げ",0,+J336)</f>
        <v>0</v>
      </c>
      <c r="K361" s="905">
        <f t="shared" si="485"/>
        <v>0</v>
      </c>
      <c r="L361" s="905">
        <f t="shared" si="485"/>
        <v>0</v>
      </c>
      <c r="M361" s="905">
        <f t="shared" si="484"/>
        <v>0</v>
      </c>
      <c r="N361" s="905">
        <f t="shared" si="484"/>
        <v>0</v>
      </c>
      <c r="O361" s="905">
        <f t="shared" si="484"/>
        <v>0</v>
      </c>
      <c r="P361" s="905">
        <f t="shared" si="484"/>
        <v>0</v>
      </c>
      <c r="Q361" s="905">
        <f t="shared" si="484"/>
        <v>0</v>
      </c>
    </row>
    <row r="362" spans="1:17" s="889" customFormat="1" ht="14">
      <c r="A362" s="2773"/>
      <c r="B362" s="2758" t="s">
        <v>2534</v>
      </c>
      <c r="C362" s="1101" t="s">
        <v>2630</v>
      </c>
      <c r="D362" s="1102">
        <v>1</v>
      </c>
      <c r="E362" s="1104">
        <v>0.01</v>
      </c>
      <c r="F362" s="904">
        <f t="shared" si="475"/>
        <v>0</v>
      </c>
      <c r="G362" s="905">
        <f t="shared" ref="G362:Q362" si="486">IF(G304="積上げ",0,+G337)</f>
        <v>0</v>
      </c>
      <c r="H362" s="905">
        <f t="shared" si="486"/>
        <v>0</v>
      </c>
      <c r="I362" s="905">
        <f t="shared" si="486"/>
        <v>0</v>
      </c>
      <c r="J362" s="905">
        <f t="shared" ref="J362:L362" si="487">IF(J304="積上げ",0,+J337)</f>
        <v>0</v>
      </c>
      <c r="K362" s="905">
        <f t="shared" si="487"/>
        <v>0</v>
      </c>
      <c r="L362" s="905">
        <f t="shared" si="487"/>
        <v>0</v>
      </c>
      <c r="M362" s="905">
        <f t="shared" si="486"/>
        <v>0</v>
      </c>
      <c r="N362" s="905">
        <f t="shared" si="486"/>
        <v>0</v>
      </c>
      <c r="O362" s="905">
        <f t="shared" si="486"/>
        <v>0</v>
      </c>
      <c r="P362" s="905">
        <f t="shared" si="486"/>
        <v>0</v>
      </c>
      <c r="Q362" s="905">
        <f t="shared" si="486"/>
        <v>0</v>
      </c>
    </row>
    <row r="363" spans="1:17" s="889" customFormat="1" ht="14">
      <c r="A363" s="2773"/>
      <c r="B363" s="2756"/>
      <c r="C363" s="1101" t="s">
        <v>2631</v>
      </c>
      <c r="D363" s="1102">
        <v>1</v>
      </c>
      <c r="E363" s="1104">
        <v>0.01</v>
      </c>
      <c r="F363" s="904">
        <f t="shared" si="475"/>
        <v>0</v>
      </c>
      <c r="G363" s="905">
        <f t="shared" ref="G363:Q363" si="488">IF(G304="積上げ",0,G338)</f>
        <v>0</v>
      </c>
      <c r="H363" s="905">
        <f t="shared" si="488"/>
        <v>0</v>
      </c>
      <c r="I363" s="905">
        <f t="shared" si="488"/>
        <v>0</v>
      </c>
      <c r="J363" s="905">
        <f t="shared" ref="J363:L363" si="489">IF(J304="積上げ",0,J338)</f>
        <v>0</v>
      </c>
      <c r="K363" s="905">
        <f t="shared" si="489"/>
        <v>0</v>
      </c>
      <c r="L363" s="905">
        <f t="shared" si="489"/>
        <v>0</v>
      </c>
      <c r="M363" s="905">
        <f t="shared" si="488"/>
        <v>0</v>
      </c>
      <c r="N363" s="905">
        <f t="shared" si="488"/>
        <v>0</v>
      </c>
      <c r="O363" s="905">
        <f t="shared" si="488"/>
        <v>0</v>
      </c>
      <c r="P363" s="905">
        <f t="shared" si="488"/>
        <v>0</v>
      </c>
      <c r="Q363" s="905">
        <f t="shared" si="488"/>
        <v>0</v>
      </c>
    </row>
    <row r="364" spans="1:17" s="889" customFormat="1" ht="14">
      <c r="A364" s="2773"/>
      <c r="B364" s="2756"/>
      <c r="C364" s="1101" t="s">
        <v>2537</v>
      </c>
      <c r="D364" s="1102">
        <v>1</v>
      </c>
      <c r="E364" s="1104">
        <v>0.01</v>
      </c>
      <c r="F364" s="904">
        <f t="shared" si="475"/>
        <v>0</v>
      </c>
      <c r="G364" s="905">
        <f t="shared" ref="G364:Q364" si="490">IF(G304="積上げ",0,G339)</f>
        <v>0</v>
      </c>
      <c r="H364" s="905">
        <f t="shared" si="490"/>
        <v>0</v>
      </c>
      <c r="I364" s="905">
        <f t="shared" si="490"/>
        <v>0</v>
      </c>
      <c r="J364" s="905">
        <f t="shared" ref="J364:L364" si="491">IF(J304="積上げ",0,J339)</f>
        <v>0</v>
      </c>
      <c r="K364" s="905">
        <f t="shared" si="491"/>
        <v>0</v>
      </c>
      <c r="L364" s="905">
        <f t="shared" si="491"/>
        <v>0</v>
      </c>
      <c r="M364" s="905">
        <f t="shared" si="490"/>
        <v>0</v>
      </c>
      <c r="N364" s="905">
        <f t="shared" si="490"/>
        <v>0</v>
      </c>
      <c r="O364" s="905">
        <f t="shared" si="490"/>
        <v>0</v>
      </c>
      <c r="P364" s="905">
        <f t="shared" si="490"/>
        <v>0</v>
      </c>
      <c r="Q364" s="905">
        <f t="shared" si="490"/>
        <v>0</v>
      </c>
    </row>
    <row r="365" spans="1:17" s="889" customFormat="1" ht="14">
      <c r="A365" s="2773"/>
      <c r="B365" s="2756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  <c r="O365" s="905"/>
      <c r="P365" s="905"/>
      <c r="Q365" s="905"/>
    </row>
    <row r="366" spans="1:17" s="889" customFormat="1" ht="14">
      <c r="A366" s="2773"/>
      <c r="B366" s="2756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  <c r="O366" s="905"/>
      <c r="P366" s="905"/>
      <c r="Q366" s="905"/>
    </row>
    <row r="367" spans="1:17" s="889" customFormat="1" ht="14">
      <c r="A367" s="2773"/>
      <c r="B367" s="2756"/>
      <c r="C367" s="1101" t="s">
        <v>2540</v>
      </c>
      <c r="D367" s="1102">
        <v>1</v>
      </c>
      <c r="E367" s="1104">
        <v>0.01</v>
      </c>
      <c r="F367" s="904">
        <f>SUM(G367:Q367)</f>
        <v>0</v>
      </c>
      <c r="G367" s="905">
        <f t="shared" ref="G367:Q367" si="492">IF(G304="積上げ",0,+G342)</f>
        <v>0</v>
      </c>
      <c r="H367" s="905">
        <f t="shared" si="492"/>
        <v>0</v>
      </c>
      <c r="I367" s="905">
        <f t="shared" si="492"/>
        <v>0</v>
      </c>
      <c r="J367" s="905">
        <f t="shared" ref="J367:L367" si="493">IF(J304="積上げ",0,+J342)</f>
        <v>0</v>
      </c>
      <c r="K367" s="905">
        <f t="shared" si="493"/>
        <v>0</v>
      </c>
      <c r="L367" s="905">
        <f t="shared" si="493"/>
        <v>0</v>
      </c>
      <c r="M367" s="905">
        <f t="shared" si="492"/>
        <v>0</v>
      </c>
      <c r="N367" s="905">
        <f t="shared" si="492"/>
        <v>0</v>
      </c>
      <c r="O367" s="905">
        <f t="shared" si="492"/>
        <v>0</v>
      </c>
      <c r="P367" s="905">
        <f t="shared" si="492"/>
        <v>0</v>
      </c>
      <c r="Q367" s="905">
        <f t="shared" si="492"/>
        <v>0</v>
      </c>
    </row>
    <row r="368" spans="1:17" s="889" customFormat="1" ht="14">
      <c r="A368" s="2773"/>
      <c r="B368" s="2756"/>
      <c r="C368" s="1105" t="s">
        <v>2618</v>
      </c>
      <c r="D368" s="1102">
        <v>1</v>
      </c>
      <c r="E368" s="1104">
        <v>0.01</v>
      </c>
      <c r="F368" s="904">
        <f>SUM(G368:Q368)</f>
        <v>0</v>
      </c>
      <c r="G368" s="905">
        <f t="shared" ref="G368:Q368" si="494">IF(G304="積上げ",0,+G343)</f>
        <v>0</v>
      </c>
      <c r="H368" s="905">
        <f t="shared" si="494"/>
        <v>0</v>
      </c>
      <c r="I368" s="905">
        <f t="shared" si="494"/>
        <v>0</v>
      </c>
      <c r="J368" s="905">
        <f t="shared" ref="J368:L368" si="495">IF(J304="積上げ",0,+J343)</f>
        <v>0</v>
      </c>
      <c r="K368" s="905">
        <f t="shared" si="495"/>
        <v>0</v>
      </c>
      <c r="L368" s="905">
        <f t="shared" si="495"/>
        <v>0</v>
      </c>
      <c r="M368" s="905">
        <f t="shared" si="494"/>
        <v>0</v>
      </c>
      <c r="N368" s="905">
        <f t="shared" si="494"/>
        <v>0</v>
      </c>
      <c r="O368" s="905">
        <f t="shared" si="494"/>
        <v>0</v>
      </c>
      <c r="P368" s="905">
        <f t="shared" si="494"/>
        <v>0</v>
      </c>
      <c r="Q368" s="905">
        <f t="shared" si="494"/>
        <v>0</v>
      </c>
    </row>
    <row r="369" spans="1:17" s="889" customFormat="1" ht="14">
      <c r="A369" s="2773"/>
      <c r="B369" s="2756"/>
      <c r="C369" s="1105" t="s">
        <v>2619</v>
      </c>
      <c r="D369" s="1102">
        <v>1</v>
      </c>
      <c r="E369" s="1104">
        <v>0.01</v>
      </c>
      <c r="F369" s="904">
        <f>SUM(G369:Q369)</f>
        <v>0</v>
      </c>
      <c r="G369" s="905">
        <f t="shared" ref="G369:Q369" si="496">IF(G304="積上げ",0,+G344)</f>
        <v>0</v>
      </c>
      <c r="H369" s="905">
        <f t="shared" si="496"/>
        <v>0</v>
      </c>
      <c r="I369" s="905">
        <f t="shared" si="496"/>
        <v>0</v>
      </c>
      <c r="J369" s="905">
        <f t="shared" ref="J369:L369" si="497">IF(J304="積上げ",0,+J344)</f>
        <v>0</v>
      </c>
      <c r="K369" s="905">
        <f t="shared" si="497"/>
        <v>0</v>
      </c>
      <c r="L369" s="905">
        <f t="shared" si="497"/>
        <v>0</v>
      </c>
      <c r="M369" s="905">
        <f t="shared" si="496"/>
        <v>0</v>
      </c>
      <c r="N369" s="905">
        <f t="shared" si="496"/>
        <v>0</v>
      </c>
      <c r="O369" s="905">
        <f t="shared" si="496"/>
        <v>0</v>
      </c>
      <c r="P369" s="905">
        <f t="shared" si="496"/>
        <v>0</v>
      </c>
      <c r="Q369" s="905">
        <f t="shared" si="496"/>
        <v>0</v>
      </c>
    </row>
    <row r="370" spans="1:17" s="889" customFormat="1" ht="14">
      <c r="A370" s="2773"/>
      <c r="B370" s="2757"/>
      <c r="C370" s="1101" t="s">
        <v>2543</v>
      </c>
      <c r="D370" s="1102">
        <v>1</v>
      </c>
      <c r="E370" s="1104">
        <v>0.01</v>
      </c>
      <c r="F370" s="904">
        <f>SUM(G370:Q370)</f>
        <v>0</v>
      </c>
      <c r="G370" s="905">
        <f t="shared" ref="G370:Q370" si="498">IF(G304="積上げ",0,+G345)</f>
        <v>0</v>
      </c>
      <c r="H370" s="905">
        <f t="shared" si="498"/>
        <v>0</v>
      </c>
      <c r="I370" s="905">
        <f t="shared" si="498"/>
        <v>0</v>
      </c>
      <c r="J370" s="905">
        <f t="shared" ref="J370:L370" si="499">IF(J304="積上げ",0,+J345)</f>
        <v>0</v>
      </c>
      <c r="K370" s="905">
        <f t="shared" si="499"/>
        <v>0</v>
      </c>
      <c r="L370" s="905">
        <f t="shared" si="499"/>
        <v>0</v>
      </c>
      <c r="M370" s="905">
        <f t="shared" si="498"/>
        <v>0</v>
      </c>
      <c r="N370" s="905">
        <f t="shared" si="498"/>
        <v>0</v>
      </c>
      <c r="O370" s="905">
        <f t="shared" si="498"/>
        <v>0</v>
      </c>
      <c r="P370" s="905">
        <f t="shared" si="498"/>
        <v>0</v>
      </c>
      <c r="Q370" s="905">
        <f t="shared" si="498"/>
        <v>0</v>
      </c>
    </row>
    <row r="371" spans="1:17" s="889" customFormat="1" ht="14">
      <c r="A371" s="2774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SUM(G371:Q371)</f>
        <v>409903980</v>
      </c>
      <c r="G371" s="1064">
        <f>IF(G304="積上げ",0,SUM(G349:G352)+G346)</f>
        <v>35437647</v>
      </c>
      <c r="H371" s="1064">
        <f t="shared" ref="H371:Q371" si="500">IF(H304="積上げ",0,SUM(H349:H352)+H346)</f>
        <v>22318883</v>
      </c>
      <c r="I371" s="1064">
        <f t="shared" si="500"/>
        <v>2131661</v>
      </c>
      <c r="J371" s="1064">
        <f t="shared" ref="J371:L371" si="501">IF(J304="積上げ",0,SUM(J349:J352)+J346)</f>
        <v>114534942</v>
      </c>
      <c r="K371" s="1064">
        <f t="shared" si="501"/>
        <v>10308099</v>
      </c>
      <c r="L371" s="1064">
        <f t="shared" si="501"/>
        <v>47337205</v>
      </c>
      <c r="M371" s="1064">
        <f t="shared" si="500"/>
        <v>28913934</v>
      </c>
      <c r="N371" s="1064">
        <f t="shared" si="500"/>
        <v>146444304</v>
      </c>
      <c r="O371" s="1064">
        <f t="shared" si="500"/>
        <v>1217504</v>
      </c>
      <c r="P371" s="1064">
        <f t="shared" si="500"/>
        <v>1259801</v>
      </c>
      <c r="Q371" s="1064">
        <f t="shared" si="500"/>
        <v>0</v>
      </c>
    </row>
    <row r="372" spans="1:17" s="889" customFormat="1" ht="14">
      <c r="A372" s="1110"/>
      <c r="B372" s="1111"/>
      <c r="C372" s="1112"/>
      <c r="D372" s="2775"/>
      <c r="E372" s="2775"/>
      <c r="F372" s="1099"/>
      <c r="G372" s="1100"/>
      <c r="H372" s="1100"/>
      <c r="I372" s="1100"/>
      <c r="J372" s="1100"/>
      <c r="K372" s="1100"/>
      <c r="L372" s="1100"/>
      <c r="M372" s="1100"/>
      <c r="N372" s="1100"/>
      <c r="O372" s="1100"/>
      <c r="P372" s="1100"/>
      <c r="Q372" s="1113"/>
    </row>
    <row r="373" spans="1:17" s="889" customFormat="1" ht="14">
      <c r="A373" s="2769" t="s">
        <v>2634</v>
      </c>
      <c r="B373" s="2770"/>
      <c r="C373" s="2771"/>
      <c r="D373" s="2776"/>
      <c r="E373" s="2776"/>
      <c r="F373" s="1092"/>
      <c r="G373" s="1093"/>
      <c r="H373" s="1093"/>
      <c r="I373" s="1093"/>
      <c r="J373" s="1093"/>
      <c r="K373" s="1093"/>
      <c r="L373" s="1093"/>
      <c r="M373" s="1093"/>
      <c r="N373" s="1093"/>
      <c r="O373" s="1093"/>
      <c r="P373" s="1093"/>
      <c r="Q373" s="1094"/>
    </row>
    <row r="374" spans="1:17" s="889" customFormat="1" ht="14">
      <c r="A374" s="2772"/>
      <c r="B374" s="275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Q374" si="502">IF(G358=0,0,IF(G306="有り",+G479/100,G480/100))</f>
        <v>0</v>
      </c>
      <c r="H374" s="1118">
        <f t="shared" si="502"/>
        <v>0</v>
      </c>
      <c r="I374" s="1118">
        <f t="shared" si="502"/>
        <v>0</v>
      </c>
      <c r="J374" s="1118">
        <f t="shared" ref="J374:L374" si="503">IF(J358=0,0,IF(J306="有り",+J479/100,J480/100))</f>
        <v>0</v>
      </c>
      <c r="K374" s="1118">
        <f t="shared" si="503"/>
        <v>0</v>
      </c>
      <c r="L374" s="1118">
        <f t="shared" si="503"/>
        <v>0</v>
      </c>
      <c r="M374" s="1118">
        <f t="shared" si="502"/>
        <v>0</v>
      </c>
      <c r="N374" s="1118">
        <f t="shared" si="502"/>
        <v>0</v>
      </c>
      <c r="O374" s="1118">
        <f t="shared" si="502"/>
        <v>0</v>
      </c>
      <c r="P374" s="1118">
        <f t="shared" si="502"/>
        <v>0</v>
      </c>
      <c r="Q374" s="1119">
        <f t="shared" si="502"/>
        <v>0</v>
      </c>
    </row>
    <row r="375" spans="1:17" s="889" customFormat="1" ht="14">
      <c r="A375" s="2773"/>
      <c r="B375" s="2756"/>
      <c r="C375" s="1120"/>
      <c r="D375" s="1121">
        <f>+D358</f>
        <v>1</v>
      </c>
      <c r="E375" s="1122" t="s">
        <v>2627</v>
      </c>
      <c r="F375" s="1055">
        <f>SUM(G375:Q375)</f>
        <v>0</v>
      </c>
      <c r="G375" s="1071">
        <f t="shared" ref="G375:Q375" si="504">ROUNDDOWN(G358*G374*$D375,0)</f>
        <v>0</v>
      </c>
      <c r="H375" s="1071">
        <f t="shared" si="504"/>
        <v>0</v>
      </c>
      <c r="I375" s="1071">
        <f t="shared" si="504"/>
        <v>0</v>
      </c>
      <c r="J375" s="1071">
        <f t="shared" ref="J375:L375" si="505">ROUNDDOWN(J358*J374*$D375,0)</f>
        <v>0</v>
      </c>
      <c r="K375" s="1071">
        <f t="shared" si="505"/>
        <v>0</v>
      </c>
      <c r="L375" s="1071">
        <f t="shared" si="505"/>
        <v>0</v>
      </c>
      <c r="M375" s="1071">
        <f t="shared" si="504"/>
        <v>0</v>
      </c>
      <c r="N375" s="1071">
        <f t="shared" si="504"/>
        <v>0</v>
      </c>
      <c r="O375" s="1071">
        <f t="shared" si="504"/>
        <v>0</v>
      </c>
      <c r="P375" s="1071">
        <f t="shared" si="504"/>
        <v>0</v>
      </c>
      <c r="Q375" s="1072">
        <f t="shared" si="504"/>
        <v>0</v>
      </c>
    </row>
    <row r="376" spans="1:17" s="889" customFormat="1" ht="14">
      <c r="A376" s="2773"/>
      <c r="B376" s="2756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Q376" si="506">IF(G359=0,0,IF(G306="有り",G488/100,+G489/100))</f>
        <v>0</v>
      </c>
      <c r="H376" s="1126">
        <f t="shared" si="506"/>
        <v>0</v>
      </c>
      <c r="I376" s="1126">
        <f t="shared" si="506"/>
        <v>0</v>
      </c>
      <c r="J376" s="1126">
        <f t="shared" ref="J376:L376" si="507">IF(J359=0,0,IF(J306="有り",J488/100,+J489/100))</f>
        <v>0</v>
      </c>
      <c r="K376" s="1126">
        <f t="shared" si="507"/>
        <v>0</v>
      </c>
      <c r="L376" s="1126">
        <f t="shared" si="507"/>
        <v>0</v>
      </c>
      <c r="M376" s="1126">
        <f t="shared" si="506"/>
        <v>0</v>
      </c>
      <c r="N376" s="1126">
        <f t="shared" si="506"/>
        <v>0</v>
      </c>
      <c r="O376" s="1126">
        <f t="shared" si="506"/>
        <v>0</v>
      </c>
      <c r="P376" s="1126">
        <f t="shared" si="506"/>
        <v>0</v>
      </c>
      <c r="Q376" s="1127">
        <f t="shared" si="506"/>
        <v>0</v>
      </c>
    </row>
    <row r="377" spans="1:17" s="889" customFormat="1" ht="14">
      <c r="A377" s="2773"/>
      <c r="B377" s="2756"/>
      <c r="C377" s="1120"/>
      <c r="D377" s="1128">
        <f t="shared" ref="D377:D382" si="508">+D359</f>
        <v>1</v>
      </c>
      <c r="E377" s="1122" t="s">
        <v>2627</v>
      </c>
      <c r="F377" s="1055">
        <f>SUM(G377:Q377)</f>
        <v>0</v>
      </c>
      <c r="G377" s="1071">
        <f t="shared" ref="G377:Q377" si="509">ROUNDDOWN(G359*G376*$D377,0)</f>
        <v>0</v>
      </c>
      <c r="H377" s="1071">
        <f t="shared" si="509"/>
        <v>0</v>
      </c>
      <c r="I377" s="1071">
        <f t="shared" si="509"/>
        <v>0</v>
      </c>
      <c r="J377" s="1071">
        <f t="shared" ref="J377:L377" si="510">ROUNDDOWN(J359*J376*$D377,0)</f>
        <v>0</v>
      </c>
      <c r="K377" s="1071">
        <f t="shared" si="510"/>
        <v>0</v>
      </c>
      <c r="L377" s="1071">
        <f t="shared" si="510"/>
        <v>0</v>
      </c>
      <c r="M377" s="1071">
        <f t="shared" si="509"/>
        <v>0</v>
      </c>
      <c r="N377" s="1071">
        <f t="shared" si="509"/>
        <v>0</v>
      </c>
      <c r="O377" s="1071">
        <f t="shared" si="509"/>
        <v>0</v>
      </c>
      <c r="P377" s="1071">
        <f t="shared" si="509"/>
        <v>0</v>
      </c>
      <c r="Q377" s="1072">
        <f t="shared" si="509"/>
        <v>0</v>
      </c>
    </row>
    <row r="378" spans="1:17" s="889" customFormat="1" ht="14">
      <c r="A378" s="2773"/>
      <c r="B378" s="2756"/>
      <c r="C378" s="1101" t="s">
        <v>2553</v>
      </c>
      <c r="D378" s="1129">
        <v>0.9</v>
      </c>
      <c r="E378" s="1122" t="s">
        <v>2627</v>
      </c>
      <c r="F378" s="1055">
        <f>SUM(G378:Q378)</f>
        <v>0</v>
      </c>
      <c r="G378" s="1071">
        <f t="shared" ref="G378:Q378" si="511">ROUNDDOWN(G360*G374*$D378,0)</f>
        <v>0</v>
      </c>
      <c r="H378" s="1071">
        <f t="shared" si="511"/>
        <v>0</v>
      </c>
      <c r="I378" s="1071">
        <f t="shared" si="511"/>
        <v>0</v>
      </c>
      <c r="J378" s="1071">
        <f t="shared" ref="J378:L378" si="512">ROUNDDOWN(J360*J374*$D378,0)</f>
        <v>0</v>
      </c>
      <c r="K378" s="1071">
        <f t="shared" si="512"/>
        <v>0</v>
      </c>
      <c r="L378" s="1071">
        <f t="shared" si="512"/>
        <v>0</v>
      </c>
      <c r="M378" s="1071">
        <f t="shared" si="511"/>
        <v>0</v>
      </c>
      <c r="N378" s="1071">
        <f t="shared" si="511"/>
        <v>0</v>
      </c>
      <c r="O378" s="1071">
        <f t="shared" si="511"/>
        <v>0</v>
      </c>
      <c r="P378" s="1071">
        <f t="shared" si="511"/>
        <v>0</v>
      </c>
      <c r="Q378" s="1072">
        <f t="shared" si="511"/>
        <v>0</v>
      </c>
    </row>
    <row r="379" spans="1:17" s="889" customFormat="1" ht="14">
      <c r="A379" s="2773"/>
      <c r="B379" s="2757"/>
      <c r="C379" s="1101" t="s">
        <v>2554</v>
      </c>
      <c r="D379" s="1129">
        <v>0.9</v>
      </c>
      <c r="E379" s="1122" t="s">
        <v>2627</v>
      </c>
      <c r="F379" s="1055">
        <f>SUM(G379:Q379)</f>
        <v>0</v>
      </c>
      <c r="G379" s="1071">
        <f t="shared" ref="G379:Q379" si="513">ROUNDDOWN(G361*G376*$D379,0)</f>
        <v>0</v>
      </c>
      <c r="H379" s="1071">
        <f t="shared" si="513"/>
        <v>0</v>
      </c>
      <c r="I379" s="1071">
        <f t="shared" si="513"/>
        <v>0</v>
      </c>
      <c r="J379" s="1071">
        <f t="shared" ref="J379:L379" si="514">ROUNDDOWN(J361*J376*$D379,0)</f>
        <v>0</v>
      </c>
      <c r="K379" s="1071">
        <f t="shared" si="514"/>
        <v>0</v>
      </c>
      <c r="L379" s="1071">
        <f t="shared" si="514"/>
        <v>0</v>
      </c>
      <c r="M379" s="1071">
        <f t="shared" si="513"/>
        <v>0</v>
      </c>
      <c r="N379" s="1071">
        <f t="shared" si="513"/>
        <v>0</v>
      </c>
      <c r="O379" s="1071">
        <f t="shared" si="513"/>
        <v>0</v>
      </c>
      <c r="P379" s="1071">
        <f t="shared" si="513"/>
        <v>0</v>
      </c>
      <c r="Q379" s="1072">
        <f t="shared" si="513"/>
        <v>0</v>
      </c>
    </row>
    <row r="380" spans="1:17" s="889" customFormat="1" ht="14">
      <c r="A380" s="2773"/>
      <c r="B380" s="2758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Q389" si="515">ROUNDDOWN(G362*$E380*$D380,0)</f>
        <v>0</v>
      </c>
      <c r="H380" s="1071">
        <f t="shared" si="515"/>
        <v>0</v>
      </c>
      <c r="I380" s="1071">
        <f t="shared" si="515"/>
        <v>0</v>
      </c>
      <c r="J380" s="1071">
        <f t="shared" ref="J380:L380" si="516">ROUNDDOWN(J362*$E380*$D380,0)</f>
        <v>0</v>
      </c>
      <c r="K380" s="1071">
        <f t="shared" si="516"/>
        <v>0</v>
      </c>
      <c r="L380" s="1071">
        <f t="shared" si="516"/>
        <v>0</v>
      </c>
      <c r="M380" s="1071">
        <f t="shared" si="515"/>
        <v>0</v>
      </c>
      <c r="N380" s="1071">
        <f t="shared" si="515"/>
        <v>0</v>
      </c>
      <c r="O380" s="1071">
        <f t="shared" si="515"/>
        <v>0</v>
      </c>
      <c r="P380" s="1071">
        <f t="shared" si="515"/>
        <v>0</v>
      </c>
      <c r="Q380" s="1071">
        <f t="shared" si="515"/>
        <v>0</v>
      </c>
    </row>
    <row r="381" spans="1:17" s="889" customFormat="1" ht="14">
      <c r="A381" s="2773"/>
      <c r="B381" s="2756"/>
      <c r="C381" s="1101" t="s">
        <v>2636</v>
      </c>
      <c r="D381" s="1129">
        <f t="shared" si="508"/>
        <v>1</v>
      </c>
      <c r="E381" s="1104">
        <f>+E363</f>
        <v>0.01</v>
      </c>
      <c r="F381" s="904">
        <v>0</v>
      </c>
      <c r="G381" s="1071">
        <f t="shared" si="515"/>
        <v>0</v>
      </c>
      <c r="H381" s="1071">
        <f t="shared" si="515"/>
        <v>0</v>
      </c>
      <c r="I381" s="1071">
        <f t="shared" si="515"/>
        <v>0</v>
      </c>
      <c r="J381" s="1071">
        <f t="shared" ref="J381:L381" si="517">ROUNDDOWN(J363*$E381*$D381,0)</f>
        <v>0</v>
      </c>
      <c r="K381" s="1071">
        <f t="shared" si="517"/>
        <v>0</v>
      </c>
      <c r="L381" s="1071">
        <f t="shared" si="517"/>
        <v>0</v>
      </c>
      <c r="M381" s="1071">
        <f t="shared" si="515"/>
        <v>0</v>
      </c>
      <c r="N381" s="1071">
        <f t="shared" si="515"/>
        <v>0</v>
      </c>
      <c r="O381" s="1071">
        <f t="shared" si="515"/>
        <v>0</v>
      </c>
      <c r="P381" s="1071">
        <f t="shared" si="515"/>
        <v>0</v>
      </c>
      <c r="Q381" s="1071">
        <f t="shared" si="515"/>
        <v>0</v>
      </c>
    </row>
    <row r="382" spans="1:17" s="889" customFormat="1" ht="14">
      <c r="A382" s="2773"/>
      <c r="B382" s="2756"/>
      <c r="C382" s="1101" t="s">
        <v>2537</v>
      </c>
      <c r="D382" s="1129">
        <f t="shared" si="508"/>
        <v>1</v>
      </c>
      <c r="E382" s="1104">
        <f>+E364</f>
        <v>0.01</v>
      </c>
      <c r="F382" s="904">
        <v>0</v>
      </c>
      <c r="G382" s="1071">
        <f t="shared" si="515"/>
        <v>0</v>
      </c>
      <c r="H382" s="1071">
        <f t="shared" si="515"/>
        <v>0</v>
      </c>
      <c r="I382" s="1071">
        <f t="shared" si="515"/>
        <v>0</v>
      </c>
      <c r="J382" s="1071">
        <f t="shared" ref="J382:L382" si="518">ROUNDDOWN(J364*$E382*$D382,0)</f>
        <v>0</v>
      </c>
      <c r="K382" s="1071">
        <f t="shared" si="518"/>
        <v>0</v>
      </c>
      <c r="L382" s="1071">
        <f t="shared" si="518"/>
        <v>0</v>
      </c>
      <c r="M382" s="1071">
        <f t="shared" si="515"/>
        <v>0</v>
      </c>
      <c r="N382" s="1071">
        <f t="shared" si="515"/>
        <v>0</v>
      </c>
      <c r="O382" s="1071">
        <f t="shared" si="515"/>
        <v>0</v>
      </c>
      <c r="P382" s="1071">
        <f t="shared" si="515"/>
        <v>0</v>
      </c>
      <c r="Q382" s="1071">
        <f t="shared" si="515"/>
        <v>0</v>
      </c>
    </row>
    <row r="383" spans="1:17" s="889" customFormat="1" ht="14">
      <c r="A383" s="2773"/>
      <c r="B383" s="2756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  <c r="O383" s="1071"/>
      <c r="P383" s="1071"/>
      <c r="Q383" s="1071"/>
    </row>
    <row r="384" spans="1:17" s="889" customFormat="1" ht="14">
      <c r="A384" s="2773"/>
      <c r="B384" s="2756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  <c r="O384" s="1071"/>
      <c r="P384" s="1071"/>
      <c r="Q384" s="1071"/>
    </row>
    <row r="385" spans="1:17" s="889" customFormat="1" ht="14">
      <c r="A385" s="2773"/>
      <c r="B385" s="2756"/>
      <c r="C385" s="1101" t="s">
        <v>2540</v>
      </c>
      <c r="D385" s="1129">
        <f t="shared" ref="D385:E389" si="519">+D367</f>
        <v>1</v>
      </c>
      <c r="E385" s="1104">
        <f t="shared" si="519"/>
        <v>0.01</v>
      </c>
      <c r="F385" s="904">
        <v>0</v>
      </c>
      <c r="G385" s="1071">
        <f t="shared" si="515"/>
        <v>0</v>
      </c>
      <c r="H385" s="1071">
        <f t="shared" si="515"/>
        <v>0</v>
      </c>
      <c r="I385" s="1071">
        <f t="shared" si="515"/>
        <v>0</v>
      </c>
      <c r="J385" s="1071">
        <f t="shared" ref="J385:L385" si="520">ROUNDDOWN(J367*$E385*$D385,0)</f>
        <v>0</v>
      </c>
      <c r="K385" s="1071">
        <f t="shared" si="520"/>
        <v>0</v>
      </c>
      <c r="L385" s="1071">
        <f t="shared" si="520"/>
        <v>0</v>
      </c>
      <c r="M385" s="1071">
        <f t="shared" si="515"/>
        <v>0</v>
      </c>
      <c r="N385" s="1071">
        <f t="shared" si="515"/>
        <v>0</v>
      </c>
      <c r="O385" s="1071">
        <f t="shared" si="515"/>
        <v>0</v>
      </c>
      <c r="P385" s="1071">
        <f t="shared" si="515"/>
        <v>0</v>
      </c>
      <c r="Q385" s="1071">
        <f t="shared" si="515"/>
        <v>0</v>
      </c>
    </row>
    <row r="386" spans="1:17" s="889" customFormat="1" ht="14">
      <c r="A386" s="2773"/>
      <c r="B386" s="2756"/>
      <c r="C386" s="1105" t="s">
        <v>2638</v>
      </c>
      <c r="D386" s="1129">
        <f t="shared" si="519"/>
        <v>1</v>
      </c>
      <c r="E386" s="1104">
        <f t="shared" si="519"/>
        <v>0.01</v>
      </c>
      <c r="F386" s="904">
        <v>0</v>
      </c>
      <c r="G386" s="1071">
        <f t="shared" si="515"/>
        <v>0</v>
      </c>
      <c r="H386" s="1071">
        <f t="shared" si="515"/>
        <v>0</v>
      </c>
      <c r="I386" s="1071">
        <f t="shared" si="515"/>
        <v>0</v>
      </c>
      <c r="J386" s="1071">
        <f t="shared" ref="J386:L386" si="521">ROUNDDOWN(J368*$E386*$D386,0)</f>
        <v>0</v>
      </c>
      <c r="K386" s="1071">
        <f t="shared" si="521"/>
        <v>0</v>
      </c>
      <c r="L386" s="1071">
        <f t="shared" si="521"/>
        <v>0</v>
      </c>
      <c r="M386" s="1071">
        <f t="shared" si="515"/>
        <v>0</v>
      </c>
      <c r="N386" s="1071">
        <f t="shared" si="515"/>
        <v>0</v>
      </c>
      <c r="O386" s="1071">
        <f t="shared" si="515"/>
        <v>0</v>
      </c>
      <c r="P386" s="1071">
        <f t="shared" si="515"/>
        <v>0</v>
      </c>
      <c r="Q386" s="1071">
        <f t="shared" si="515"/>
        <v>0</v>
      </c>
    </row>
    <row r="387" spans="1:17" s="889" customFormat="1" ht="14">
      <c r="A387" s="2773"/>
      <c r="B387" s="2756"/>
      <c r="C387" s="1105" t="s">
        <v>2639</v>
      </c>
      <c r="D387" s="1129">
        <f t="shared" si="519"/>
        <v>1</v>
      </c>
      <c r="E387" s="1104">
        <f t="shared" si="519"/>
        <v>0.01</v>
      </c>
      <c r="F387" s="904">
        <v>0</v>
      </c>
      <c r="G387" s="1071">
        <f t="shared" si="515"/>
        <v>0</v>
      </c>
      <c r="H387" s="1071">
        <f t="shared" si="515"/>
        <v>0</v>
      </c>
      <c r="I387" s="1071">
        <f t="shared" si="515"/>
        <v>0</v>
      </c>
      <c r="J387" s="1071">
        <f t="shared" ref="J387:L387" si="522">ROUNDDOWN(J369*$E387*$D387,0)</f>
        <v>0</v>
      </c>
      <c r="K387" s="1071">
        <f t="shared" si="522"/>
        <v>0</v>
      </c>
      <c r="L387" s="1071">
        <f t="shared" si="522"/>
        <v>0</v>
      </c>
      <c r="M387" s="1071">
        <f t="shared" si="515"/>
        <v>0</v>
      </c>
      <c r="N387" s="1071">
        <f t="shared" si="515"/>
        <v>0</v>
      </c>
      <c r="O387" s="1071">
        <f t="shared" si="515"/>
        <v>0</v>
      </c>
      <c r="P387" s="1071">
        <f t="shared" si="515"/>
        <v>0</v>
      </c>
      <c r="Q387" s="1071">
        <f t="shared" si="515"/>
        <v>0</v>
      </c>
    </row>
    <row r="388" spans="1:17" s="889" customFormat="1" ht="14">
      <c r="A388" s="2773"/>
      <c r="B388" s="2757"/>
      <c r="C388" s="1101" t="s">
        <v>2543</v>
      </c>
      <c r="D388" s="1129">
        <f t="shared" si="519"/>
        <v>1</v>
      </c>
      <c r="E388" s="1104">
        <f t="shared" si="519"/>
        <v>0.01</v>
      </c>
      <c r="F388" s="904">
        <v>0</v>
      </c>
      <c r="G388" s="1071">
        <f t="shared" si="515"/>
        <v>0</v>
      </c>
      <c r="H388" s="1071">
        <f t="shared" si="515"/>
        <v>0</v>
      </c>
      <c r="I388" s="1071">
        <f t="shared" si="515"/>
        <v>0</v>
      </c>
      <c r="J388" s="1071">
        <f t="shared" ref="J388:L388" si="523">ROUNDDOWN(J370*$E388*$D388,0)</f>
        <v>0</v>
      </c>
      <c r="K388" s="1071">
        <f t="shared" si="523"/>
        <v>0</v>
      </c>
      <c r="L388" s="1071">
        <f t="shared" si="523"/>
        <v>0</v>
      </c>
      <c r="M388" s="1071">
        <f t="shared" si="515"/>
        <v>0</v>
      </c>
      <c r="N388" s="1071">
        <f t="shared" si="515"/>
        <v>0</v>
      </c>
      <c r="O388" s="1071">
        <f t="shared" si="515"/>
        <v>0</v>
      </c>
      <c r="P388" s="1071">
        <f t="shared" si="515"/>
        <v>0</v>
      </c>
      <c r="Q388" s="1071">
        <f t="shared" si="515"/>
        <v>0</v>
      </c>
    </row>
    <row r="389" spans="1:17" s="889" customFormat="1" ht="15" thickBot="1">
      <c r="A389" s="2777"/>
      <c r="B389" s="1131" t="s">
        <v>2632</v>
      </c>
      <c r="C389" s="1132" t="s">
        <v>2640</v>
      </c>
      <c r="D389" s="1133">
        <f t="shared" si="519"/>
        <v>1</v>
      </c>
      <c r="E389" s="1134">
        <f t="shared" si="519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ref="K389:L389" si="524">ROUNDDOWN(K371*$E389*$D389,0)</f>
        <v>0</v>
      </c>
      <c r="L389" s="1071">
        <f t="shared" si="524"/>
        <v>0</v>
      </c>
      <c r="M389" s="1071">
        <f>ROUNDDOWN(M371*$E389*$D389,0)</f>
        <v>0</v>
      </c>
      <c r="N389" s="1071">
        <f t="shared" si="515"/>
        <v>0</v>
      </c>
      <c r="O389" s="1071">
        <f t="shared" si="515"/>
        <v>0</v>
      </c>
      <c r="P389" s="1071">
        <f t="shared" si="515"/>
        <v>0</v>
      </c>
      <c r="Q389" s="1071">
        <f t="shared" si="515"/>
        <v>0</v>
      </c>
    </row>
    <row r="390" spans="1:17" s="889" customFormat="1" ht="15" thickTop="1">
      <c r="A390" s="1136"/>
      <c r="B390" s="1137"/>
      <c r="C390" s="1138" t="s">
        <v>2641</v>
      </c>
      <c r="D390" s="1139"/>
      <c r="E390" s="1140"/>
      <c r="F390" s="1141">
        <f>SUM(G390:Q390)</f>
        <v>0</v>
      </c>
      <c r="G390" s="1142">
        <f>SUM(G377:G389)+G375</f>
        <v>0</v>
      </c>
      <c r="H390" s="1142">
        <f t="shared" ref="H390:Q390" si="525">SUM(H377:H389)+H375</f>
        <v>0</v>
      </c>
      <c r="I390" s="1142">
        <f t="shared" si="525"/>
        <v>0</v>
      </c>
      <c r="J390" s="1142">
        <f t="shared" ref="J390:L390" si="526">SUM(J377:J389)+J375</f>
        <v>0</v>
      </c>
      <c r="K390" s="1142">
        <f t="shared" si="526"/>
        <v>0</v>
      </c>
      <c r="L390" s="1142">
        <f t="shared" si="526"/>
        <v>0</v>
      </c>
      <c r="M390" s="1142">
        <f t="shared" si="525"/>
        <v>0</v>
      </c>
      <c r="N390" s="1142">
        <f t="shared" si="525"/>
        <v>0</v>
      </c>
      <c r="O390" s="1142">
        <f t="shared" si="525"/>
        <v>0</v>
      </c>
      <c r="P390" s="1142">
        <f t="shared" si="525"/>
        <v>0</v>
      </c>
      <c r="Q390" s="1143">
        <f t="shared" si="525"/>
        <v>0</v>
      </c>
    </row>
    <row r="391" spans="1:17" s="889" customFormat="1" ht="14">
      <c r="A391" s="880"/>
      <c r="B391" s="880"/>
      <c r="C391" s="917"/>
      <c r="D391" s="917"/>
      <c r="E391" s="880"/>
      <c r="F391" s="1144"/>
      <c r="G391" s="908"/>
      <c r="H391" s="908"/>
      <c r="I391" s="908"/>
      <c r="J391" s="908"/>
      <c r="K391" s="908"/>
      <c r="L391" s="908"/>
      <c r="M391" s="908"/>
      <c r="N391" s="908"/>
      <c r="O391" s="908"/>
      <c r="P391" s="908"/>
      <c r="Q391" s="908"/>
    </row>
    <row r="392" spans="1:17" s="889" customFormat="1" ht="14">
      <c r="A392" s="880"/>
      <c r="B392" s="880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37"/>
      <c r="O392" s="1037"/>
      <c r="P392" s="1037"/>
      <c r="Q392" s="1091" t="s">
        <v>2715</v>
      </c>
    </row>
    <row r="393" spans="1:17" s="889" customFormat="1" ht="14">
      <c r="A393" s="880"/>
      <c r="B393" s="880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37"/>
      <c r="O393" s="1037"/>
      <c r="P393" s="1037"/>
      <c r="Q393" s="1091"/>
    </row>
    <row r="394" spans="1:17" s="889" customFormat="1" ht="14">
      <c r="A394" s="870"/>
      <c r="B394" s="871"/>
      <c r="C394" s="871"/>
      <c r="D394" s="2767" t="s">
        <v>2623</v>
      </c>
      <c r="E394" s="2767" t="s">
        <v>2624</v>
      </c>
      <c r="F394" s="1083" t="s">
        <v>2505</v>
      </c>
      <c r="G394" s="1084" t="str">
        <f t="shared" ref="G394:Q394" si="527">+G302</f>
        <v>可動式ホーム柵設置に伴う建築工事</v>
      </c>
      <c r="H394" s="1084" t="str">
        <f t="shared" si="527"/>
        <v>隙間解消工事</v>
      </c>
      <c r="I394" s="1084" t="str">
        <f t="shared" si="527"/>
        <v>列車停止位置変更に伴う建築工事</v>
      </c>
      <c r="J394" s="1084" t="str">
        <f t="shared" ref="J394:L394" si="528">+J302</f>
        <v>床仕上改造その他工事</v>
      </c>
      <c r="K394" s="1084" t="str">
        <f t="shared" si="528"/>
        <v>整列乗車対策工事</v>
      </c>
      <c r="L394" s="1084" t="str">
        <f t="shared" si="528"/>
        <v>可動式ホーム柵設置に伴う建築工事</v>
      </c>
      <c r="M394" s="1084" t="str">
        <f t="shared" si="527"/>
        <v>隙間解消工事</v>
      </c>
      <c r="N394" s="1084" t="str">
        <f t="shared" si="527"/>
        <v>床仕上改造その他工事</v>
      </c>
      <c r="O394" s="1084" t="str">
        <f t="shared" si="527"/>
        <v>ア)東梅田駅の部-床仕上改造その他工事-機械設備工事</v>
      </c>
      <c r="P394" s="1084" t="str">
        <f t="shared" si="527"/>
        <v>イ)6号線堺筋本町駅の部-床仕上改造その他工事-機械設備工事</v>
      </c>
      <c r="Q394" s="1085">
        <f t="shared" si="527"/>
        <v>0</v>
      </c>
    </row>
    <row r="395" spans="1:17" s="889" customFormat="1" ht="14">
      <c r="A395" s="2769" t="s">
        <v>2645</v>
      </c>
      <c r="B395" s="2770"/>
      <c r="C395" s="2771"/>
      <c r="D395" s="2768"/>
      <c r="E395" s="2768"/>
      <c r="F395" s="1092"/>
      <c r="G395" s="1093"/>
      <c r="H395" s="1093"/>
      <c r="I395" s="1093"/>
      <c r="J395" s="1093"/>
      <c r="K395" s="1093"/>
      <c r="L395" s="1093"/>
      <c r="M395" s="1093"/>
      <c r="N395" s="1093"/>
      <c r="O395" s="1093"/>
      <c r="P395" s="1093"/>
      <c r="Q395" s="1094"/>
    </row>
    <row r="396" spans="1:17" s="889" customFormat="1" ht="14">
      <c r="A396" s="2772"/>
      <c r="B396" s="1095" t="s">
        <v>2646</v>
      </c>
      <c r="C396" s="1096"/>
      <c r="D396" s="1097"/>
      <c r="E396" s="1098"/>
      <c r="F396" s="1099">
        <f t="shared" ref="F396:F403" si="529">SUM(G396:Q396)</f>
        <v>0</v>
      </c>
      <c r="G396" s="1100">
        <f t="shared" ref="G396:Q396" si="530">+G307-G351-G350-G346-G347</f>
        <v>0</v>
      </c>
      <c r="H396" s="1100">
        <f t="shared" si="530"/>
        <v>0</v>
      </c>
      <c r="I396" s="1100">
        <f t="shared" si="530"/>
        <v>0</v>
      </c>
      <c r="J396" s="1100">
        <f t="shared" ref="J396:L396" si="531">+J307-J351-J350-J346-J347</f>
        <v>0</v>
      </c>
      <c r="K396" s="1100">
        <f t="shared" si="531"/>
        <v>0</v>
      </c>
      <c r="L396" s="1100">
        <f t="shared" si="531"/>
        <v>0</v>
      </c>
      <c r="M396" s="1100">
        <f t="shared" si="530"/>
        <v>0</v>
      </c>
      <c r="N396" s="1100">
        <f t="shared" si="530"/>
        <v>0</v>
      </c>
      <c r="O396" s="1100">
        <f t="shared" si="530"/>
        <v>0</v>
      </c>
      <c r="P396" s="1100">
        <f t="shared" si="530"/>
        <v>0</v>
      </c>
      <c r="Q396" s="1113">
        <f t="shared" si="530"/>
        <v>0</v>
      </c>
    </row>
    <row r="397" spans="1:17" s="889" customFormat="1" ht="14">
      <c r="A397" s="2773"/>
      <c r="B397" s="2758" t="s">
        <v>2529</v>
      </c>
      <c r="C397" s="1101" t="s">
        <v>2530</v>
      </c>
      <c r="D397" s="1102">
        <v>1</v>
      </c>
      <c r="E397" s="1103" t="s">
        <v>2627</v>
      </c>
      <c r="F397" s="904">
        <f t="shared" si="529"/>
        <v>0</v>
      </c>
      <c r="G397" s="905">
        <f>IF(G333&gt;=G334,+G333+G375+G314-G315-G316-G351,G333+G375)</f>
        <v>0</v>
      </c>
      <c r="H397" s="905">
        <f t="shared" ref="H397:Q397" si="532">IF(H333&gt;=H334,+H333+H375+H314-H315-H316-H351,H333+H375)</f>
        <v>0</v>
      </c>
      <c r="I397" s="905">
        <f t="shared" si="532"/>
        <v>0</v>
      </c>
      <c r="J397" s="905">
        <f t="shared" ref="J397:L397" si="533">IF(J333&gt;=J334,+J333+J375+J314-J315-J316-J351,J333+J375)</f>
        <v>0</v>
      </c>
      <c r="K397" s="905">
        <f t="shared" si="533"/>
        <v>0</v>
      </c>
      <c r="L397" s="905">
        <f t="shared" si="533"/>
        <v>0</v>
      </c>
      <c r="M397" s="905">
        <f t="shared" si="532"/>
        <v>0</v>
      </c>
      <c r="N397" s="905">
        <f t="shared" si="532"/>
        <v>0</v>
      </c>
      <c r="O397" s="905">
        <f t="shared" si="532"/>
        <v>0</v>
      </c>
      <c r="P397" s="905">
        <f t="shared" si="532"/>
        <v>0</v>
      </c>
      <c r="Q397" s="906">
        <f t="shared" si="532"/>
        <v>0</v>
      </c>
    </row>
    <row r="398" spans="1:17" s="889" customFormat="1" ht="14">
      <c r="A398" s="2773"/>
      <c r="B398" s="2756"/>
      <c r="C398" s="1101" t="s">
        <v>2531</v>
      </c>
      <c r="D398" s="1102">
        <v>1</v>
      </c>
      <c r="E398" s="1103" t="s">
        <v>2627</v>
      </c>
      <c r="F398" s="904">
        <f t="shared" si="529"/>
        <v>0</v>
      </c>
      <c r="G398" s="905">
        <f>IF(G333&gt;=G334,+G334+G377,G334+G377+G314-G315-G316-G351)</f>
        <v>0</v>
      </c>
      <c r="H398" s="905">
        <f t="shared" ref="H398:Q398" si="534">IF(H333&gt;=H334,+H334+H377,H334+H377+H314-H315-H316-H351)</f>
        <v>0</v>
      </c>
      <c r="I398" s="905">
        <f t="shared" si="534"/>
        <v>0</v>
      </c>
      <c r="J398" s="905">
        <f t="shared" ref="J398:L398" si="535">IF(J333&gt;=J334,+J334+J377,J334+J377+J314-J315-J316-J351)</f>
        <v>0</v>
      </c>
      <c r="K398" s="905">
        <f t="shared" si="535"/>
        <v>0</v>
      </c>
      <c r="L398" s="905">
        <f t="shared" si="535"/>
        <v>0</v>
      </c>
      <c r="M398" s="905">
        <f t="shared" si="534"/>
        <v>0</v>
      </c>
      <c r="N398" s="905">
        <f t="shared" si="534"/>
        <v>0</v>
      </c>
      <c r="O398" s="905">
        <f t="shared" si="534"/>
        <v>0</v>
      </c>
      <c r="P398" s="905">
        <f t="shared" si="534"/>
        <v>0</v>
      </c>
      <c r="Q398" s="906">
        <f t="shared" si="534"/>
        <v>0</v>
      </c>
    </row>
    <row r="399" spans="1:17" s="889" customFormat="1" ht="14">
      <c r="A399" s="2773"/>
      <c r="B399" s="2756"/>
      <c r="C399" s="1101" t="s">
        <v>2628</v>
      </c>
      <c r="D399" s="1102">
        <v>1</v>
      </c>
      <c r="E399" s="1103" t="s">
        <v>2627</v>
      </c>
      <c r="F399" s="904">
        <f t="shared" si="529"/>
        <v>0</v>
      </c>
      <c r="G399" s="905">
        <f>+G335+G378</f>
        <v>0</v>
      </c>
      <c r="H399" s="905">
        <f t="shared" ref="H399:Q403" si="536">+H335+H378</f>
        <v>0</v>
      </c>
      <c r="I399" s="905">
        <f t="shared" si="536"/>
        <v>0</v>
      </c>
      <c r="J399" s="905">
        <f t="shared" ref="J399:L399" si="537">+J335+J378</f>
        <v>0</v>
      </c>
      <c r="K399" s="905">
        <f t="shared" si="537"/>
        <v>0</v>
      </c>
      <c r="L399" s="905">
        <f t="shared" si="537"/>
        <v>0</v>
      </c>
      <c r="M399" s="905">
        <f t="shared" si="536"/>
        <v>0</v>
      </c>
      <c r="N399" s="905">
        <f t="shared" si="536"/>
        <v>0</v>
      </c>
      <c r="O399" s="905">
        <f t="shared" si="536"/>
        <v>0</v>
      </c>
      <c r="P399" s="905">
        <f t="shared" si="536"/>
        <v>0</v>
      </c>
      <c r="Q399" s="906">
        <f t="shared" si="536"/>
        <v>0</v>
      </c>
    </row>
    <row r="400" spans="1:17" s="889" customFormat="1" ht="14">
      <c r="A400" s="2773"/>
      <c r="B400" s="2757"/>
      <c r="C400" s="1101" t="s">
        <v>2629</v>
      </c>
      <c r="D400" s="1102">
        <v>1</v>
      </c>
      <c r="E400" s="1103" t="s">
        <v>2627</v>
      </c>
      <c r="F400" s="904">
        <f t="shared" si="529"/>
        <v>0</v>
      </c>
      <c r="G400" s="905">
        <f>+G336+G379</f>
        <v>0</v>
      </c>
      <c r="H400" s="905">
        <f t="shared" si="536"/>
        <v>0</v>
      </c>
      <c r="I400" s="905">
        <f t="shared" si="536"/>
        <v>0</v>
      </c>
      <c r="J400" s="905">
        <f t="shared" ref="J400:L400" si="538">+J336+J379</f>
        <v>0</v>
      </c>
      <c r="K400" s="905">
        <f t="shared" si="538"/>
        <v>0</v>
      </c>
      <c r="L400" s="905">
        <f t="shared" si="538"/>
        <v>0</v>
      </c>
      <c r="M400" s="905">
        <f t="shared" si="536"/>
        <v>0</v>
      </c>
      <c r="N400" s="905">
        <f t="shared" si="536"/>
        <v>0</v>
      </c>
      <c r="O400" s="905">
        <f t="shared" si="536"/>
        <v>0</v>
      </c>
      <c r="P400" s="905">
        <f t="shared" si="536"/>
        <v>0</v>
      </c>
      <c r="Q400" s="906">
        <f t="shared" si="536"/>
        <v>0</v>
      </c>
    </row>
    <row r="401" spans="1:17" s="889" customFormat="1" ht="14">
      <c r="A401" s="2773"/>
      <c r="B401" s="2758" t="s">
        <v>2534</v>
      </c>
      <c r="C401" s="1101" t="s">
        <v>2630</v>
      </c>
      <c r="D401" s="1102">
        <v>1</v>
      </c>
      <c r="E401" s="1104">
        <v>0.02</v>
      </c>
      <c r="F401" s="904">
        <f t="shared" si="529"/>
        <v>0</v>
      </c>
      <c r="G401" s="905">
        <f>+G337+G380</f>
        <v>0</v>
      </c>
      <c r="H401" s="905">
        <f t="shared" si="536"/>
        <v>0</v>
      </c>
      <c r="I401" s="905">
        <f t="shared" si="536"/>
        <v>0</v>
      </c>
      <c r="J401" s="905">
        <f t="shared" ref="J401:L401" si="539">+J337+J380</f>
        <v>0</v>
      </c>
      <c r="K401" s="905">
        <f t="shared" si="539"/>
        <v>0</v>
      </c>
      <c r="L401" s="905">
        <f t="shared" si="539"/>
        <v>0</v>
      </c>
      <c r="M401" s="905">
        <f t="shared" si="536"/>
        <v>0</v>
      </c>
      <c r="N401" s="905">
        <f t="shared" si="536"/>
        <v>0</v>
      </c>
      <c r="O401" s="905">
        <f t="shared" si="536"/>
        <v>0</v>
      </c>
      <c r="P401" s="905">
        <f t="shared" si="536"/>
        <v>0</v>
      </c>
      <c r="Q401" s="906">
        <f t="shared" si="536"/>
        <v>0</v>
      </c>
    </row>
    <row r="402" spans="1:17" s="889" customFormat="1" ht="14">
      <c r="A402" s="2773"/>
      <c r="B402" s="2756"/>
      <c r="C402" s="1101" t="s">
        <v>2631</v>
      </c>
      <c r="D402" s="1102">
        <v>1</v>
      </c>
      <c r="E402" s="1104">
        <v>0.02</v>
      </c>
      <c r="F402" s="904">
        <f t="shared" si="529"/>
        <v>0</v>
      </c>
      <c r="G402" s="905">
        <f>+G338+G381</f>
        <v>0</v>
      </c>
      <c r="H402" s="905">
        <f t="shared" si="536"/>
        <v>0</v>
      </c>
      <c r="I402" s="905">
        <f t="shared" si="536"/>
        <v>0</v>
      </c>
      <c r="J402" s="905">
        <f t="shared" ref="J402:L402" si="540">+J338+J381</f>
        <v>0</v>
      </c>
      <c r="K402" s="905">
        <f t="shared" si="540"/>
        <v>0</v>
      </c>
      <c r="L402" s="905">
        <f t="shared" si="540"/>
        <v>0</v>
      </c>
      <c r="M402" s="905">
        <f t="shared" si="536"/>
        <v>0</v>
      </c>
      <c r="N402" s="905">
        <f t="shared" si="536"/>
        <v>0</v>
      </c>
      <c r="O402" s="905">
        <f t="shared" si="536"/>
        <v>0</v>
      </c>
      <c r="P402" s="905">
        <f t="shared" si="536"/>
        <v>0</v>
      </c>
      <c r="Q402" s="906">
        <f t="shared" si="536"/>
        <v>0</v>
      </c>
    </row>
    <row r="403" spans="1:17" s="889" customFormat="1" ht="14">
      <c r="A403" s="2773"/>
      <c r="B403" s="2756"/>
      <c r="C403" s="1101" t="s">
        <v>2537</v>
      </c>
      <c r="D403" s="1102">
        <v>1</v>
      </c>
      <c r="E403" s="1104">
        <v>0.02</v>
      </c>
      <c r="F403" s="904">
        <f t="shared" si="529"/>
        <v>0</v>
      </c>
      <c r="G403" s="905">
        <f>+G339+G382</f>
        <v>0</v>
      </c>
      <c r="H403" s="905">
        <f t="shared" si="536"/>
        <v>0</v>
      </c>
      <c r="I403" s="905">
        <f t="shared" si="536"/>
        <v>0</v>
      </c>
      <c r="J403" s="905">
        <f t="shared" ref="J403:L403" si="541">+J339+J382</f>
        <v>0</v>
      </c>
      <c r="K403" s="905">
        <f t="shared" si="541"/>
        <v>0</v>
      </c>
      <c r="L403" s="905">
        <f t="shared" si="541"/>
        <v>0</v>
      </c>
      <c r="M403" s="905">
        <f t="shared" si="536"/>
        <v>0</v>
      </c>
      <c r="N403" s="905">
        <f t="shared" si="536"/>
        <v>0</v>
      </c>
      <c r="O403" s="905">
        <f t="shared" si="536"/>
        <v>0</v>
      </c>
      <c r="P403" s="905">
        <f t="shared" si="536"/>
        <v>0</v>
      </c>
      <c r="Q403" s="906">
        <f t="shared" si="536"/>
        <v>0</v>
      </c>
    </row>
    <row r="404" spans="1:17" s="889" customFormat="1" ht="14">
      <c r="A404" s="2773"/>
      <c r="B404" s="2756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5"/>
      <c r="O404" s="905"/>
      <c r="P404" s="905"/>
      <c r="Q404" s="906"/>
    </row>
    <row r="405" spans="1:17" s="889" customFormat="1" ht="14">
      <c r="A405" s="2773"/>
      <c r="B405" s="2756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5"/>
      <c r="O405" s="905"/>
      <c r="P405" s="905"/>
      <c r="Q405" s="906"/>
    </row>
    <row r="406" spans="1:17" s="889" customFormat="1" ht="14">
      <c r="A406" s="2773"/>
      <c r="B406" s="2756"/>
      <c r="C406" s="1101" t="s">
        <v>2540</v>
      </c>
      <c r="D406" s="1102">
        <v>1</v>
      </c>
      <c r="E406" s="1104">
        <v>0.02</v>
      </c>
      <c r="F406" s="904">
        <f>SUM(G406:Q406)</f>
        <v>0</v>
      </c>
      <c r="G406" s="905">
        <f t="shared" ref="G406:Q409" si="542">+G342+G385</f>
        <v>0</v>
      </c>
      <c r="H406" s="905">
        <f t="shared" si="542"/>
        <v>0</v>
      </c>
      <c r="I406" s="905">
        <f t="shared" si="542"/>
        <v>0</v>
      </c>
      <c r="J406" s="905">
        <f t="shared" ref="J406:L406" si="543">+J342+J385</f>
        <v>0</v>
      </c>
      <c r="K406" s="905">
        <f t="shared" si="543"/>
        <v>0</v>
      </c>
      <c r="L406" s="905">
        <f t="shared" si="543"/>
        <v>0</v>
      </c>
      <c r="M406" s="905">
        <f t="shared" si="542"/>
        <v>0</v>
      </c>
      <c r="N406" s="905">
        <f t="shared" si="542"/>
        <v>0</v>
      </c>
      <c r="O406" s="905">
        <f t="shared" si="542"/>
        <v>0</v>
      </c>
      <c r="P406" s="905">
        <f t="shared" si="542"/>
        <v>0</v>
      </c>
      <c r="Q406" s="906">
        <f t="shared" si="542"/>
        <v>0</v>
      </c>
    </row>
    <row r="407" spans="1:17" s="889" customFormat="1" ht="14">
      <c r="A407" s="2773"/>
      <c r="B407" s="2756"/>
      <c r="C407" s="1105" t="s">
        <v>2618</v>
      </c>
      <c r="D407" s="1102">
        <v>1</v>
      </c>
      <c r="E407" s="1104">
        <v>0.02</v>
      </c>
      <c r="F407" s="904">
        <f>SUM(G407:Q407)</f>
        <v>0</v>
      </c>
      <c r="G407" s="905">
        <f t="shared" si="542"/>
        <v>0</v>
      </c>
      <c r="H407" s="905">
        <f t="shared" si="542"/>
        <v>0</v>
      </c>
      <c r="I407" s="905">
        <f t="shared" si="542"/>
        <v>0</v>
      </c>
      <c r="J407" s="905">
        <f t="shared" ref="J407:L407" si="544">+J343+J386</f>
        <v>0</v>
      </c>
      <c r="K407" s="905">
        <f t="shared" si="544"/>
        <v>0</v>
      </c>
      <c r="L407" s="905">
        <f t="shared" si="544"/>
        <v>0</v>
      </c>
      <c r="M407" s="905">
        <f t="shared" si="542"/>
        <v>0</v>
      </c>
      <c r="N407" s="905">
        <f t="shared" si="542"/>
        <v>0</v>
      </c>
      <c r="O407" s="905">
        <f t="shared" si="542"/>
        <v>0</v>
      </c>
      <c r="P407" s="905">
        <f t="shared" si="542"/>
        <v>0</v>
      </c>
      <c r="Q407" s="906">
        <f t="shared" si="542"/>
        <v>0</v>
      </c>
    </row>
    <row r="408" spans="1:17" s="889" customFormat="1" ht="14">
      <c r="A408" s="2773"/>
      <c r="B408" s="2756"/>
      <c r="C408" s="1105" t="s">
        <v>2619</v>
      </c>
      <c r="D408" s="1102">
        <v>1</v>
      </c>
      <c r="E408" s="1104">
        <v>0.02</v>
      </c>
      <c r="F408" s="904">
        <f>SUM(G408:Q408)</f>
        <v>0</v>
      </c>
      <c r="G408" s="905">
        <f t="shared" si="542"/>
        <v>0</v>
      </c>
      <c r="H408" s="905">
        <f t="shared" si="542"/>
        <v>0</v>
      </c>
      <c r="I408" s="905">
        <f t="shared" si="542"/>
        <v>0</v>
      </c>
      <c r="J408" s="905">
        <f t="shared" ref="J408:L408" si="545">+J344+J387</f>
        <v>0</v>
      </c>
      <c r="K408" s="905">
        <f t="shared" si="545"/>
        <v>0</v>
      </c>
      <c r="L408" s="905">
        <f t="shared" si="545"/>
        <v>0</v>
      </c>
      <c r="M408" s="905">
        <f t="shared" si="542"/>
        <v>0</v>
      </c>
      <c r="N408" s="905">
        <f t="shared" si="542"/>
        <v>0</v>
      </c>
      <c r="O408" s="905">
        <f t="shared" si="542"/>
        <v>0</v>
      </c>
      <c r="P408" s="905">
        <f t="shared" si="542"/>
        <v>0</v>
      </c>
      <c r="Q408" s="906">
        <f t="shared" si="542"/>
        <v>0</v>
      </c>
    </row>
    <row r="409" spans="1:17" s="889" customFormat="1" ht="14">
      <c r="A409" s="2773"/>
      <c r="B409" s="2757"/>
      <c r="C409" s="1101" t="s">
        <v>2543</v>
      </c>
      <c r="D409" s="1102">
        <v>1</v>
      </c>
      <c r="E409" s="1104">
        <v>0.02</v>
      </c>
      <c r="F409" s="904">
        <f>SUM(G409:Q409)</f>
        <v>0</v>
      </c>
      <c r="G409" s="905">
        <f t="shared" si="542"/>
        <v>0</v>
      </c>
      <c r="H409" s="905">
        <f t="shared" si="542"/>
        <v>0</v>
      </c>
      <c r="I409" s="905">
        <f t="shared" si="542"/>
        <v>0</v>
      </c>
      <c r="J409" s="905">
        <f t="shared" ref="J409:L409" si="546">+J345+J388</f>
        <v>0</v>
      </c>
      <c r="K409" s="905">
        <f t="shared" si="546"/>
        <v>0</v>
      </c>
      <c r="L409" s="905">
        <f t="shared" si="546"/>
        <v>0</v>
      </c>
      <c r="M409" s="905">
        <f t="shared" si="542"/>
        <v>0</v>
      </c>
      <c r="N409" s="905">
        <f t="shared" si="542"/>
        <v>0</v>
      </c>
      <c r="O409" s="905">
        <f t="shared" si="542"/>
        <v>0</v>
      </c>
      <c r="P409" s="905">
        <f t="shared" si="542"/>
        <v>0</v>
      </c>
      <c r="Q409" s="906">
        <f t="shared" si="542"/>
        <v>0</v>
      </c>
    </row>
    <row r="410" spans="1:17" s="889" customFormat="1" ht="14">
      <c r="A410" s="2774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SUM(G410:Q410)</f>
        <v>409903980</v>
      </c>
      <c r="G410" s="1064">
        <f t="shared" ref="G410:Q410" si="547">SUM(G346:G352)</f>
        <v>35437647</v>
      </c>
      <c r="H410" s="1064">
        <f t="shared" si="547"/>
        <v>22318883</v>
      </c>
      <c r="I410" s="1064">
        <f t="shared" si="547"/>
        <v>2131661</v>
      </c>
      <c r="J410" s="1064">
        <f t="shared" ref="J410:L410" si="548">SUM(J346:J352)</f>
        <v>114534942</v>
      </c>
      <c r="K410" s="1064">
        <f t="shared" si="548"/>
        <v>10308099</v>
      </c>
      <c r="L410" s="1064">
        <f t="shared" si="548"/>
        <v>47337205</v>
      </c>
      <c r="M410" s="1064">
        <f t="shared" si="547"/>
        <v>28913934</v>
      </c>
      <c r="N410" s="1064">
        <f t="shared" si="547"/>
        <v>146444304</v>
      </c>
      <c r="O410" s="1064">
        <f t="shared" si="547"/>
        <v>1217504</v>
      </c>
      <c r="P410" s="1064">
        <f t="shared" si="547"/>
        <v>1259801</v>
      </c>
      <c r="Q410" s="1065">
        <f t="shared" si="547"/>
        <v>0</v>
      </c>
    </row>
    <row r="411" spans="1:17" s="889" customFormat="1" ht="14">
      <c r="A411" s="1110"/>
      <c r="B411" s="1111"/>
      <c r="C411" s="1112"/>
      <c r="D411" s="2775"/>
      <c r="E411" s="2775"/>
      <c r="F411" s="1099"/>
      <c r="G411" s="1100"/>
      <c r="H411" s="1100"/>
      <c r="I411" s="1100"/>
      <c r="J411" s="1100"/>
      <c r="K411" s="1100"/>
      <c r="L411" s="1100"/>
      <c r="M411" s="1100"/>
      <c r="N411" s="1100"/>
      <c r="O411" s="1100"/>
      <c r="P411" s="1100"/>
      <c r="Q411" s="1113"/>
    </row>
    <row r="412" spans="1:17" s="889" customFormat="1" ht="14">
      <c r="A412" s="2769" t="s">
        <v>2648</v>
      </c>
      <c r="B412" s="2770"/>
      <c r="C412" s="2771"/>
      <c r="D412" s="2776"/>
      <c r="E412" s="2776"/>
      <c r="F412" s="1092"/>
      <c r="G412" s="1093"/>
      <c r="H412" s="1093"/>
      <c r="I412" s="1093"/>
      <c r="J412" s="1093"/>
      <c r="K412" s="1093"/>
      <c r="L412" s="1093"/>
      <c r="M412" s="1093"/>
      <c r="N412" s="1093"/>
      <c r="O412" s="1093"/>
      <c r="P412" s="1093"/>
      <c r="Q412" s="1094"/>
    </row>
    <row r="413" spans="1:17" s="889" customFormat="1" ht="14">
      <c r="A413" s="2772"/>
      <c r="B413" s="275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Q413" si="549">IF(G397=0,0,+G497/100)</f>
        <v>0</v>
      </c>
      <c r="H413" s="1118">
        <f t="shared" si="549"/>
        <v>0</v>
      </c>
      <c r="I413" s="1118">
        <f t="shared" si="549"/>
        <v>0</v>
      </c>
      <c r="J413" s="1118">
        <f t="shared" ref="J413:L413" si="550">IF(J397=0,0,+J497/100)</f>
        <v>0</v>
      </c>
      <c r="K413" s="1118">
        <f t="shared" si="550"/>
        <v>0</v>
      </c>
      <c r="L413" s="1118">
        <f t="shared" si="550"/>
        <v>0</v>
      </c>
      <c r="M413" s="1118">
        <f t="shared" si="549"/>
        <v>0</v>
      </c>
      <c r="N413" s="1118">
        <f t="shared" si="549"/>
        <v>0</v>
      </c>
      <c r="O413" s="1118">
        <f t="shared" si="549"/>
        <v>0</v>
      </c>
      <c r="P413" s="1118">
        <f t="shared" si="549"/>
        <v>0</v>
      </c>
      <c r="Q413" s="1119">
        <f t="shared" si="549"/>
        <v>0</v>
      </c>
    </row>
    <row r="414" spans="1:17" s="889" customFormat="1" ht="14">
      <c r="A414" s="2773"/>
      <c r="B414" s="2756"/>
      <c r="C414" s="1120"/>
      <c r="D414" s="1121">
        <f>+D397</f>
        <v>1</v>
      </c>
      <c r="E414" s="1122" t="s">
        <v>2627</v>
      </c>
      <c r="F414" s="1055">
        <f>SUM(G414:Q414)</f>
        <v>0</v>
      </c>
      <c r="G414" s="1071">
        <f t="shared" ref="G414:Q414" si="551">ROUNDDOWN(G397*G413*$D414,0)</f>
        <v>0</v>
      </c>
      <c r="H414" s="1071">
        <f t="shared" si="551"/>
        <v>0</v>
      </c>
      <c r="I414" s="1071">
        <f t="shared" si="551"/>
        <v>0</v>
      </c>
      <c r="J414" s="1071">
        <f t="shared" ref="J414:L414" si="552">ROUNDDOWN(J397*J413*$D414,0)</f>
        <v>0</v>
      </c>
      <c r="K414" s="1071">
        <f t="shared" si="552"/>
        <v>0</v>
      </c>
      <c r="L414" s="1071">
        <f t="shared" si="552"/>
        <v>0</v>
      </c>
      <c r="M414" s="1071">
        <f t="shared" si="551"/>
        <v>0</v>
      </c>
      <c r="N414" s="1071">
        <f t="shared" si="551"/>
        <v>0</v>
      </c>
      <c r="O414" s="1071">
        <f t="shared" si="551"/>
        <v>0</v>
      </c>
      <c r="P414" s="1071">
        <f t="shared" si="551"/>
        <v>0</v>
      </c>
      <c r="Q414" s="1072">
        <f t="shared" si="551"/>
        <v>0</v>
      </c>
    </row>
    <row r="415" spans="1:17" s="889" customFormat="1" ht="14">
      <c r="A415" s="2773"/>
      <c r="B415" s="2756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Q415" si="553">IF(G398=0,0,+G505/100)</f>
        <v>0</v>
      </c>
      <c r="H415" s="1126">
        <f>IF(H398=0,0,+H505/100)</f>
        <v>0</v>
      </c>
      <c r="I415" s="1126">
        <f t="shared" si="553"/>
        <v>0</v>
      </c>
      <c r="J415" s="1126">
        <f t="shared" ref="J415:L415" si="554">IF(J398=0,0,+J505/100)</f>
        <v>0</v>
      </c>
      <c r="K415" s="1126">
        <f t="shared" si="554"/>
        <v>0</v>
      </c>
      <c r="L415" s="1126">
        <f t="shared" si="554"/>
        <v>0</v>
      </c>
      <c r="M415" s="1126">
        <f t="shared" si="553"/>
        <v>0</v>
      </c>
      <c r="N415" s="1126">
        <f t="shared" si="553"/>
        <v>0</v>
      </c>
      <c r="O415" s="1126">
        <f t="shared" si="553"/>
        <v>0</v>
      </c>
      <c r="P415" s="1126">
        <f t="shared" si="553"/>
        <v>0</v>
      </c>
      <c r="Q415" s="1127">
        <f t="shared" si="553"/>
        <v>0</v>
      </c>
    </row>
    <row r="416" spans="1:17" s="889" customFormat="1" ht="14">
      <c r="A416" s="2773"/>
      <c r="B416" s="2756"/>
      <c r="C416" s="1120"/>
      <c r="D416" s="1128">
        <f t="shared" ref="D416:D421" si="555">+D398</f>
        <v>1</v>
      </c>
      <c r="E416" s="1122" t="s">
        <v>2627</v>
      </c>
      <c r="F416" s="1055">
        <f t="shared" ref="F416:F421" si="556">SUM(G416:Q416)</f>
        <v>0</v>
      </c>
      <c r="G416" s="1071">
        <f t="shared" ref="G416:Q416" si="557">ROUNDDOWN(G398*G415*$D416,0)</f>
        <v>0</v>
      </c>
      <c r="H416" s="1071">
        <f t="shared" si="557"/>
        <v>0</v>
      </c>
      <c r="I416" s="1071">
        <f t="shared" si="557"/>
        <v>0</v>
      </c>
      <c r="J416" s="1071">
        <f t="shared" ref="J416:L416" si="558">ROUNDDOWN(J398*J415*$D416,0)</f>
        <v>0</v>
      </c>
      <c r="K416" s="1071">
        <f t="shared" si="558"/>
        <v>0</v>
      </c>
      <c r="L416" s="1071">
        <f t="shared" si="558"/>
        <v>0</v>
      </c>
      <c r="M416" s="1071">
        <f t="shared" si="557"/>
        <v>0</v>
      </c>
      <c r="N416" s="1071">
        <f t="shared" si="557"/>
        <v>0</v>
      </c>
      <c r="O416" s="1071">
        <f t="shared" si="557"/>
        <v>0</v>
      </c>
      <c r="P416" s="1071">
        <f t="shared" si="557"/>
        <v>0</v>
      </c>
      <c r="Q416" s="1072">
        <f t="shared" si="557"/>
        <v>0</v>
      </c>
    </row>
    <row r="417" spans="1:17" s="889" customFormat="1" ht="14">
      <c r="A417" s="2773"/>
      <c r="B417" s="2756"/>
      <c r="C417" s="1101" t="s">
        <v>2553</v>
      </c>
      <c r="D417" s="1129">
        <f t="shared" si="555"/>
        <v>1</v>
      </c>
      <c r="E417" s="1122" t="s">
        <v>2627</v>
      </c>
      <c r="F417" s="1055">
        <f t="shared" si="556"/>
        <v>0</v>
      </c>
      <c r="G417" s="1071">
        <f t="shared" ref="G417:Q417" si="559">ROUNDDOWN(G399*G413*$D417,0)</f>
        <v>0</v>
      </c>
      <c r="H417" s="1071">
        <f t="shared" si="559"/>
        <v>0</v>
      </c>
      <c r="I417" s="1071">
        <f t="shared" si="559"/>
        <v>0</v>
      </c>
      <c r="J417" s="1071">
        <f t="shared" ref="J417:L417" si="560">ROUNDDOWN(J399*J413*$D417,0)</f>
        <v>0</v>
      </c>
      <c r="K417" s="1071">
        <f t="shared" si="560"/>
        <v>0</v>
      </c>
      <c r="L417" s="1071">
        <f t="shared" si="560"/>
        <v>0</v>
      </c>
      <c r="M417" s="1071">
        <f t="shared" si="559"/>
        <v>0</v>
      </c>
      <c r="N417" s="1071">
        <f t="shared" si="559"/>
        <v>0</v>
      </c>
      <c r="O417" s="1071">
        <f t="shared" si="559"/>
        <v>0</v>
      </c>
      <c r="P417" s="1071">
        <f t="shared" si="559"/>
        <v>0</v>
      </c>
      <c r="Q417" s="1072">
        <f t="shared" si="559"/>
        <v>0</v>
      </c>
    </row>
    <row r="418" spans="1:17" s="889" customFormat="1" ht="14">
      <c r="A418" s="2773"/>
      <c r="B418" s="2757"/>
      <c r="C418" s="1101" t="s">
        <v>2554</v>
      </c>
      <c r="D418" s="1129">
        <f t="shared" si="555"/>
        <v>1</v>
      </c>
      <c r="E418" s="1122" t="s">
        <v>2627</v>
      </c>
      <c r="F418" s="1055">
        <f t="shared" si="556"/>
        <v>0</v>
      </c>
      <c r="G418" s="1071">
        <f t="shared" ref="G418:Q418" si="561">ROUNDDOWN(G400*G415*$D418,0)</f>
        <v>0</v>
      </c>
      <c r="H418" s="1071">
        <f t="shared" si="561"/>
        <v>0</v>
      </c>
      <c r="I418" s="1071">
        <f t="shared" si="561"/>
        <v>0</v>
      </c>
      <c r="J418" s="1071">
        <f t="shared" ref="J418:L418" si="562">ROUNDDOWN(J400*J415*$D418,0)</f>
        <v>0</v>
      </c>
      <c r="K418" s="1071">
        <f t="shared" si="562"/>
        <v>0</v>
      </c>
      <c r="L418" s="1071">
        <f t="shared" si="562"/>
        <v>0</v>
      </c>
      <c r="M418" s="1071">
        <f t="shared" si="561"/>
        <v>0</v>
      </c>
      <c r="N418" s="1071">
        <f t="shared" si="561"/>
        <v>0</v>
      </c>
      <c r="O418" s="1071">
        <f t="shared" si="561"/>
        <v>0</v>
      </c>
      <c r="P418" s="1071">
        <f t="shared" si="561"/>
        <v>0</v>
      </c>
      <c r="Q418" s="1072">
        <f t="shared" si="561"/>
        <v>0</v>
      </c>
    </row>
    <row r="419" spans="1:17" s="889" customFormat="1" ht="14">
      <c r="A419" s="2773"/>
      <c r="B419" s="2758" t="s">
        <v>2534</v>
      </c>
      <c r="C419" s="1101" t="s">
        <v>2630</v>
      </c>
      <c r="D419" s="1129">
        <f t="shared" si="555"/>
        <v>1</v>
      </c>
      <c r="E419" s="1104">
        <f>+E401</f>
        <v>0.02</v>
      </c>
      <c r="F419" s="1055">
        <f t="shared" si="556"/>
        <v>0</v>
      </c>
      <c r="G419" s="1071">
        <f t="shared" ref="G419:Q427" si="563">ROUNDDOWN(G401*$E419*$D419,0)</f>
        <v>0</v>
      </c>
      <c r="H419" s="1071">
        <f t="shared" si="563"/>
        <v>0</v>
      </c>
      <c r="I419" s="1071">
        <f t="shared" si="563"/>
        <v>0</v>
      </c>
      <c r="J419" s="1071">
        <f t="shared" ref="J419:L419" si="564">ROUNDDOWN(J401*$E419*$D419,0)</f>
        <v>0</v>
      </c>
      <c r="K419" s="1071">
        <f t="shared" si="564"/>
        <v>0</v>
      </c>
      <c r="L419" s="1071">
        <f t="shared" si="564"/>
        <v>0</v>
      </c>
      <c r="M419" s="1071">
        <f t="shared" si="563"/>
        <v>0</v>
      </c>
      <c r="N419" s="1071">
        <f t="shared" si="563"/>
        <v>0</v>
      </c>
      <c r="O419" s="1071">
        <f t="shared" si="563"/>
        <v>0</v>
      </c>
      <c r="P419" s="1071">
        <f t="shared" si="563"/>
        <v>0</v>
      </c>
      <c r="Q419" s="1072">
        <f t="shared" si="563"/>
        <v>0</v>
      </c>
    </row>
    <row r="420" spans="1:17" s="889" customFormat="1" ht="14">
      <c r="A420" s="2773"/>
      <c r="B420" s="2756"/>
      <c r="C420" s="1101" t="s">
        <v>2636</v>
      </c>
      <c r="D420" s="1129">
        <f t="shared" si="555"/>
        <v>1</v>
      </c>
      <c r="E420" s="1104">
        <f>+E402</f>
        <v>0.02</v>
      </c>
      <c r="F420" s="1055">
        <f t="shared" si="556"/>
        <v>0</v>
      </c>
      <c r="G420" s="1071">
        <f t="shared" si="563"/>
        <v>0</v>
      </c>
      <c r="H420" s="1071">
        <f t="shared" si="563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ref="K420:L420" si="565">ROUNDDOWN(K402*$E420*$D420,0)</f>
        <v>0</v>
      </c>
      <c r="L420" s="1071">
        <f t="shared" si="565"/>
        <v>0</v>
      </c>
      <c r="M420" s="1071">
        <f>ROUNDDOWN(M402*$E420*$D420,0)</f>
        <v>0</v>
      </c>
      <c r="N420" s="1071">
        <f t="shared" si="563"/>
        <v>0</v>
      </c>
      <c r="O420" s="1071">
        <f t="shared" si="563"/>
        <v>0</v>
      </c>
      <c r="P420" s="1071">
        <f t="shared" si="563"/>
        <v>0</v>
      </c>
      <c r="Q420" s="1072">
        <f t="shared" si="563"/>
        <v>0</v>
      </c>
    </row>
    <row r="421" spans="1:17" s="889" customFormat="1" ht="14">
      <c r="A421" s="2773"/>
      <c r="B421" s="2756"/>
      <c r="C421" s="1101" t="s">
        <v>2537</v>
      </c>
      <c r="D421" s="1129">
        <f t="shared" si="555"/>
        <v>1</v>
      </c>
      <c r="E421" s="1104">
        <f>+E403</f>
        <v>0.02</v>
      </c>
      <c r="F421" s="1055">
        <f t="shared" si="556"/>
        <v>0</v>
      </c>
      <c r="G421" s="1071">
        <f t="shared" si="563"/>
        <v>0</v>
      </c>
      <c r="H421" s="1071">
        <f t="shared" si="563"/>
        <v>0</v>
      </c>
      <c r="I421" s="1071">
        <f>ROUNDDOWN(I403*$E421*$D421,0)</f>
        <v>0</v>
      </c>
      <c r="J421" s="1071">
        <f>ROUNDDOWN(J403*$E421*$D421,0)</f>
        <v>0</v>
      </c>
      <c r="K421" s="1071">
        <f t="shared" ref="K421:L421" si="566">ROUNDDOWN(K403*$E421*$D421,0)</f>
        <v>0</v>
      </c>
      <c r="L421" s="1071">
        <f t="shared" si="566"/>
        <v>0</v>
      </c>
      <c r="M421" s="1071">
        <f>ROUNDDOWN(M403*$E421*$D421,0)</f>
        <v>0</v>
      </c>
      <c r="N421" s="1071">
        <f t="shared" si="563"/>
        <v>0</v>
      </c>
      <c r="O421" s="1071">
        <f t="shared" si="563"/>
        <v>0</v>
      </c>
      <c r="P421" s="1071">
        <f t="shared" si="563"/>
        <v>0</v>
      </c>
      <c r="Q421" s="1072">
        <f t="shared" si="563"/>
        <v>0</v>
      </c>
    </row>
    <row r="422" spans="1:17" s="889" customFormat="1" ht="14">
      <c r="A422" s="2773"/>
      <c r="B422" s="2756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1"/>
      <c r="O422" s="1071"/>
      <c r="P422" s="1071"/>
      <c r="Q422" s="1072"/>
    </row>
    <row r="423" spans="1:17" s="889" customFormat="1" ht="14">
      <c r="A423" s="2773"/>
      <c r="B423" s="2756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1"/>
      <c r="O423" s="1071"/>
      <c r="P423" s="1071"/>
      <c r="Q423" s="1072"/>
    </row>
    <row r="424" spans="1:17" s="889" customFormat="1" ht="14">
      <c r="A424" s="2773"/>
      <c r="B424" s="2756"/>
      <c r="C424" s="1101" t="s">
        <v>2540</v>
      </c>
      <c r="D424" s="1129">
        <f t="shared" ref="D424:E427" si="567">+D406</f>
        <v>1</v>
      </c>
      <c r="E424" s="1104">
        <f t="shared" si="567"/>
        <v>0.02</v>
      </c>
      <c r="F424" s="1055">
        <f t="shared" ref="F424:F432" si="568">SUM(G424:Q424)</f>
        <v>0</v>
      </c>
      <c r="G424" s="1071">
        <f t="shared" ref="G424:M427" si="569">ROUNDDOWN(G406*$E424*$D424,0)</f>
        <v>0</v>
      </c>
      <c r="H424" s="1071">
        <f t="shared" si="569"/>
        <v>0</v>
      </c>
      <c r="I424" s="1071">
        <f t="shared" si="569"/>
        <v>0</v>
      </c>
      <c r="J424" s="1071">
        <f t="shared" ref="J424:L424" si="570">ROUNDDOWN(J406*$E424*$D424,0)</f>
        <v>0</v>
      </c>
      <c r="K424" s="1071">
        <f t="shared" si="570"/>
        <v>0</v>
      </c>
      <c r="L424" s="1071">
        <f t="shared" si="570"/>
        <v>0</v>
      </c>
      <c r="M424" s="1071">
        <f t="shared" si="569"/>
        <v>0</v>
      </c>
      <c r="N424" s="1071">
        <f t="shared" si="563"/>
        <v>0</v>
      </c>
      <c r="O424" s="1071">
        <f t="shared" si="563"/>
        <v>0</v>
      </c>
      <c r="P424" s="1071">
        <f t="shared" si="563"/>
        <v>0</v>
      </c>
      <c r="Q424" s="1072">
        <f t="shared" si="563"/>
        <v>0</v>
      </c>
    </row>
    <row r="425" spans="1:17" s="889" customFormat="1" ht="14">
      <c r="A425" s="2773"/>
      <c r="B425" s="2756"/>
      <c r="C425" s="1105" t="s">
        <v>2618</v>
      </c>
      <c r="D425" s="1129">
        <f t="shared" si="567"/>
        <v>1</v>
      </c>
      <c r="E425" s="1104">
        <f t="shared" si="567"/>
        <v>0.02</v>
      </c>
      <c r="F425" s="1055">
        <f t="shared" si="568"/>
        <v>0</v>
      </c>
      <c r="G425" s="1071">
        <f t="shared" si="569"/>
        <v>0</v>
      </c>
      <c r="H425" s="1071">
        <f t="shared" si="569"/>
        <v>0</v>
      </c>
      <c r="I425" s="1071">
        <f t="shared" si="569"/>
        <v>0</v>
      </c>
      <c r="J425" s="1071">
        <f t="shared" ref="J425:L425" si="571">ROUNDDOWN(J407*$E425*$D425,0)</f>
        <v>0</v>
      </c>
      <c r="K425" s="1071">
        <f t="shared" si="571"/>
        <v>0</v>
      </c>
      <c r="L425" s="1071">
        <f t="shared" si="571"/>
        <v>0</v>
      </c>
      <c r="M425" s="1071">
        <f t="shared" si="569"/>
        <v>0</v>
      </c>
      <c r="N425" s="1071">
        <f t="shared" si="563"/>
        <v>0</v>
      </c>
      <c r="O425" s="1071">
        <f t="shared" si="563"/>
        <v>0</v>
      </c>
      <c r="P425" s="1071">
        <f t="shared" si="563"/>
        <v>0</v>
      </c>
      <c r="Q425" s="1072">
        <f t="shared" si="563"/>
        <v>0</v>
      </c>
    </row>
    <row r="426" spans="1:17" s="889" customFormat="1" ht="14">
      <c r="A426" s="2773"/>
      <c r="B426" s="2756"/>
      <c r="C426" s="1105" t="s">
        <v>2619</v>
      </c>
      <c r="D426" s="1129">
        <f t="shared" si="567"/>
        <v>1</v>
      </c>
      <c r="E426" s="1104">
        <f t="shared" si="567"/>
        <v>0.02</v>
      </c>
      <c r="F426" s="1055">
        <f t="shared" si="568"/>
        <v>0</v>
      </c>
      <c r="G426" s="1071">
        <f t="shared" si="569"/>
        <v>0</v>
      </c>
      <c r="H426" s="1071">
        <f t="shared" si="569"/>
        <v>0</v>
      </c>
      <c r="I426" s="1071">
        <f t="shared" si="569"/>
        <v>0</v>
      </c>
      <c r="J426" s="1071">
        <f t="shared" ref="J426:L426" si="572">ROUNDDOWN(J408*$E426*$D426,0)</f>
        <v>0</v>
      </c>
      <c r="K426" s="1071">
        <f t="shared" si="572"/>
        <v>0</v>
      </c>
      <c r="L426" s="1071">
        <f t="shared" si="572"/>
        <v>0</v>
      </c>
      <c r="M426" s="1071">
        <f t="shared" si="569"/>
        <v>0</v>
      </c>
      <c r="N426" s="1071">
        <f t="shared" si="563"/>
        <v>0</v>
      </c>
      <c r="O426" s="1071">
        <f t="shared" si="563"/>
        <v>0</v>
      </c>
      <c r="P426" s="1071">
        <f t="shared" si="563"/>
        <v>0</v>
      </c>
      <c r="Q426" s="1072">
        <f t="shared" si="563"/>
        <v>0</v>
      </c>
    </row>
    <row r="427" spans="1:17" s="889" customFormat="1" ht="14">
      <c r="A427" s="2773"/>
      <c r="B427" s="2757"/>
      <c r="C427" s="1101" t="s">
        <v>2649</v>
      </c>
      <c r="D427" s="1129">
        <f t="shared" si="567"/>
        <v>1</v>
      </c>
      <c r="E427" s="1104">
        <f t="shared" si="567"/>
        <v>0.02</v>
      </c>
      <c r="F427" s="1055">
        <f t="shared" si="568"/>
        <v>0</v>
      </c>
      <c r="G427" s="1071">
        <f t="shared" si="569"/>
        <v>0</v>
      </c>
      <c r="H427" s="1071">
        <f t="shared" si="569"/>
        <v>0</v>
      </c>
      <c r="I427" s="1071">
        <f t="shared" si="569"/>
        <v>0</v>
      </c>
      <c r="J427" s="1071">
        <f t="shared" ref="J427:L427" si="573">ROUNDDOWN(J409*$E427*$D427,0)</f>
        <v>0</v>
      </c>
      <c r="K427" s="1071">
        <f t="shared" si="573"/>
        <v>0</v>
      </c>
      <c r="L427" s="1071">
        <f t="shared" si="573"/>
        <v>0</v>
      </c>
      <c r="M427" s="1071">
        <f t="shared" si="569"/>
        <v>0</v>
      </c>
      <c r="N427" s="1071">
        <f t="shared" si="563"/>
        <v>0</v>
      </c>
      <c r="O427" s="1071">
        <f t="shared" si="563"/>
        <v>0</v>
      </c>
      <c r="P427" s="1071">
        <f t="shared" si="563"/>
        <v>0</v>
      </c>
      <c r="Q427" s="1072">
        <f t="shared" si="563"/>
        <v>0</v>
      </c>
    </row>
    <row r="428" spans="1:17" s="889" customFormat="1" ht="14">
      <c r="A428" s="2773"/>
      <c r="B428" s="2794" t="s">
        <v>2650</v>
      </c>
      <c r="C428" s="1101" t="s">
        <v>2562</v>
      </c>
      <c r="D428" s="1147"/>
      <c r="E428" s="1148"/>
      <c r="F428" s="1055">
        <f t="shared" si="568"/>
        <v>45958688</v>
      </c>
      <c r="G428" s="1293">
        <f t="shared" ref="G428:Q428" si="574">+G212+G59</f>
        <v>3717375</v>
      </c>
      <c r="H428" s="1293">
        <f t="shared" si="574"/>
        <v>2282113</v>
      </c>
      <c r="I428" s="1293">
        <f t="shared" si="574"/>
        <v>221648</v>
      </c>
      <c r="J428" s="1293">
        <f t="shared" ref="J428:L428" si="575">+J212+J59</f>
        <v>13424172</v>
      </c>
      <c r="K428" s="1293">
        <f t="shared" si="575"/>
        <v>1173850</v>
      </c>
      <c r="L428" s="1293">
        <f t="shared" si="575"/>
        <v>4961085</v>
      </c>
      <c r="M428" s="1293">
        <f t="shared" si="574"/>
        <v>2736856</v>
      </c>
      <c r="N428" s="1293">
        <f t="shared" si="574"/>
        <v>16401671</v>
      </c>
      <c r="O428" s="1293">
        <f t="shared" si="574"/>
        <v>511139</v>
      </c>
      <c r="P428" s="1293">
        <f t="shared" si="574"/>
        <v>528779</v>
      </c>
      <c r="Q428" s="1294">
        <f t="shared" si="574"/>
        <v>0</v>
      </c>
    </row>
    <row r="429" spans="1:17" s="889" customFormat="1" ht="14">
      <c r="A429" s="2773"/>
      <c r="B429" s="2795"/>
      <c r="C429" s="1151" t="s">
        <v>2651</v>
      </c>
      <c r="D429" s="1147"/>
      <c r="E429" s="1148"/>
      <c r="F429" s="1055">
        <f t="shared" si="568"/>
        <v>0</v>
      </c>
      <c r="G429" s="905"/>
      <c r="H429" s="905"/>
      <c r="I429" s="905"/>
      <c r="J429" s="905"/>
      <c r="K429" s="905"/>
      <c r="L429" s="905"/>
      <c r="M429" s="905"/>
      <c r="N429" s="905"/>
      <c r="O429" s="905"/>
      <c r="P429" s="905"/>
      <c r="Q429" s="906"/>
    </row>
    <row r="430" spans="1:17" s="889" customFormat="1" ht="15" thickBot="1">
      <c r="A430" s="2777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568"/>
        <v>0</v>
      </c>
      <c r="G430" s="1071">
        <f t="shared" ref="G430:Q430" si="576">ROUNDDOWN(G410*$E430*$D430,0)</f>
        <v>0</v>
      </c>
      <c r="H430" s="1071">
        <f t="shared" si="576"/>
        <v>0</v>
      </c>
      <c r="I430" s="1071">
        <f t="shared" si="576"/>
        <v>0</v>
      </c>
      <c r="J430" s="1071">
        <f t="shared" ref="J430:L430" si="577">ROUNDDOWN(J410*$E430*$D430,0)</f>
        <v>0</v>
      </c>
      <c r="K430" s="1071">
        <f t="shared" si="577"/>
        <v>0</v>
      </c>
      <c r="L430" s="1071">
        <f t="shared" si="577"/>
        <v>0</v>
      </c>
      <c r="M430" s="1071">
        <f t="shared" si="576"/>
        <v>0</v>
      </c>
      <c r="N430" s="1071">
        <f t="shared" si="576"/>
        <v>0</v>
      </c>
      <c r="O430" s="1071">
        <f t="shared" si="576"/>
        <v>0</v>
      </c>
      <c r="P430" s="1071">
        <f t="shared" si="576"/>
        <v>0</v>
      </c>
      <c r="Q430" s="1153">
        <f t="shared" si="576"/>
        <v>0</v>
      </c>
    </row>
    <row r="431" spans="1:17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568"/>
        <v>45958688</v>
      </c>
      <c r="G431" s="1160">
        <f t="shared" ref="G431:Q431" si="578">SUM(G416:G430)+G414</f>
        <v>3717375</v>
      </c>
      <c r="H431" s="1160">
        <f t="shared" si="578"/>
        <v>2282113</v>
      </c>
      <c r="I431" s="1160">
        <f t="shared" si="578"/>
        <v>221648</v>
      </c>
      <c r="J431" s="1160">
        <f t="shared" ref="J431:L431" si="579">SUM(J416:J430)+J414</f>
        <v>13424172</v>
      </c>
      <c r="K431" s="1160">
        <f t="shared" si="579"/>
        <v>1173850</v>
      </c>
      <c r="L431" s="1160">
        <f t="shared" si="579"/>
        <v>4961085</v>
      </c>
      <c r="M431" s="1160">
        <f t="shared" si="578"/>
        <v>2736856</v>
      </c>
      <c r="N431" s="1160">
        <f t="shared" si="578"/>
        <v>16401671</v>
      </c>
      <c r="O431" s="1160">
        <f t="shared" si="578"/>
        <v>511139</v>
      </c>
      <c r="P431" s="1160">
        <f t="shared" si="578"/>
        <v>528779</v>
      </c>
      <c r="Q431" s="1161">
        <f t="shared" si="578"/>
        <v>0</v>
      </c>
    </row>
    <row r="432" spans="1:17" s="889" customFormat="1" ht="14">
      <c r="A432" s="1162"/>
      <c r="B432" s="1163"/>
      <c r="C432" s="1063" t="s">
        <v>2653</v>
      </c>
      <c r="D432" s="1164"/>
      <c r="E432" s="938"/>
      <c r="F432" s="939">
        <f t="shared" si="568"/>
        <v>455862668</v>
      </c>
      <c r="G432" s="1064">
        <f t="shared" ref="G432:Q432" si="580">+G307+G431</f>
        <v>39155022</v>
      </c>
      <c r="H432" s="1064">
        <f t="shared" si="580"/>
        <v>24600996</v>
      </c>
      <c r="I432" s="1064">
        <f t="shared" si="580"/>
        <v>2353309</v>
      </c>
      <c r="J432" s="1064">
        <f t="shared" ref="J432:L432" si="581">+J307+J431</f>
        <v>127959114</v>
      </c>
      <c r="K432" s="1064">
        <f t="shared" si="581"/>
        <v>11481949</v>
      </c>
      <c r="L432" s="1064">
        <f t="shared" si="581"/>
        <v>52298290</v>
      </c>
      <c r="M432" s="1064">
        <f t="shared" si="580"/>
        <v>31650790</v>
      </c>
      <c r="N432" s="1064">
        <f t="shared" si="580"/>
        <v>162845975</v>
      </c>
      <c r="O432" s="1064">
        <f t="shared" si="580"/>
        <v>1728643</v>
      </c>
      <c r="P432" s="1064">
        <f t="shared" si="580"/>
        <v>1788580</v>
      </c>
      <c r="Q432" s="1065">
        <f t="shared" si="580"/>
        <v>0</v>
      </c>
    </row>
    <row r="433" spans="1:17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5"/>
      <c r="O433" s="1305"/>
      <c r="P433" s="1305"/>
      <c r="Q433" s="1306" t="s">
        <v>2717</v>
      </c>
    </row>
    <row r="434" spans="1:17" s="889" customFormat="1" ht="14">
      <c r="A434" s="879"/>
      <c r="B434" s="880"/>
      <c r="C434" s="880"/>
      <c r="D434" s="880"/>
      <c r="E434" s="880"/>
      <c r="F434" s="1034"/>
      <c r="G434" s="1037"/>
      <c r="H434" s="1037"/>
      <c r="I434" s="1037"/>
      <c r="J434" s="1037"/>
      <c r="K434" s="1037"/>
      <c r="L434" s="1037"/>
      <c r="M434" s="1037"/>
      <c r="N434" s="1037"/>
      <c r="O434" s="1037"/>
      <c r="P434" s="1037"/>
      <c r="Q434" s="1307"/>
    </row>
    <row r="435" spans="1:17" s="889" customFormat="1" ht="14">
      <c r="A435" s="2778"/>
      <c r="B435" s="2779"/>
      <c r="C435" s="2780"/>
      <c r="D435" s="1166"/>
      <c r="E435" s="1082" t="s">
        <v>2656</v>
      </c>
      <c r="F435" s="1083" t="s">
        <v>2505</v>
      </c>
      <c r="G435" s="1084" t="str">
        <f t="shared" ref="G435:Q435" si="582">+G302</f>
        <v>可動式ホーム柵設置に伴う建築工事</v>
      </c>
      <c r="H435" s="1084" t="str">
        <f t="shared" si="582"/>
        <v>隙間解消工事</v>
      </c>
      <c r="I435" s="1084" t="str">
        <f t="shared" si="582"/>
        <v>列車停止位置変更に伴う建築工事</v>
      </c>
      <c r="J435" s="1084" t="str">
        <f t="shared" ref="J435:L435" si="583">+J302</f>
        <v>床仕上改造その他工事</v>
      </c>
      <c r="K435" s="1084" t="str">
        <f t="shared" si="583"/>
        <v>整列乗車対策工事</v>
      </c>
      <c r="L435" s="1084" t="str">
        <f t="shared" si="583"/>
        <v>可動式ホーム柵設置に伴う建築工事</v>
      </c>
      <c r="M435" s="1084" t="str">
        <f t="shared" si="582"/>
        <v>隙間解消工事</v>
      </c>
      <c r="N435" s="1084" t="str">
        <f t="shared" si="582"/>
        <v>床仕上改造その他工事</v>
      </c>
      <c r="O435" s="1084" t="str">
        <f t="shared" si="582"/>
        <v>ア)東梅田駅の部-床仕上改造その他工事-機械設備工事</v>
      </c>
      <c r="P435" s="1084" t="str">
        <f t="shared" si="582"/>
        <v>イ)6号線堺筋本町駅の部-床仕上改造その他工事-機械設備工事</v>
      </c>
      <c r="Q435" s="1085">
        <f t="shared" si="582"/>
        <v>0</v>
      </c>
    </row>
    <row r="436" spans="1:17" s="889" customFormat="1" ht="15" thickBot="1">
      <c r="A436" s="2781"/>
      <c r="B436" s="2782"/>
      <c r="C436" s="2783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69"/>
      <c r="O436" s="1169"/>
      <c r="P436" s="1169"/>
      <c r="Q436" s="1170"/>
    </row>
    <row r="437" spans="1:17" s="889" customFormat="1" ht="15" thickBot="1">
      <c r="A437" s="1171"/>
      <c r="B437" s="1172"/>
      <c r="C437" s="1173" t="s">
        <v>2657</v>
      </c>
      <c r="D437" s="1174"/>
      <c r="E437" s="1175"/>
      <c r="F437" s="1176">
        <f>SUM(G437:Q437)</f>
        <v>455862668</v>
      </c>
      <c r="G437" s="1177">
        <f t="shared" ref="G437:Q437" si="584">IF(G438="",+G432,0)</f>
        <v>39155022</v>
      </c>
      <c r="H437" s="1177">
        <f t="shared" si="584"/>
        <v>24600996</v>
      </c>
      <c r="I437" s="1177">
        <f t="shared" si="584"/>
        <v>2353309</v>
      </c>
      <c r="J437" s="1177">
        <f t="shared" ref="J437:L437" si="585">IF(J438="",+J432,0)</f>
        <v>127959114</v>
      </c>
      <c r="K437" s="1177">
        <f t="shared" si="585"/>
        <v>11481949</v>
      </c>
      <c r="L437" s="1177">
        <f t="shared" si="585"/>
        <v>52298290</v>
      </c>
      <c r="M437" s="1177">
        <f t="shared" si="584"/>
        <v>31650790</v>
      </c>
      <c r="N437" s="1177">
        <f t="shared" si="584"/>
        <v>162845975</v>
      </c>
      <c r="O437" s="1177">
        <f t="shared" si="584"/>
        <v>1728643</v>
      </c>
      <c r="P437" s="1177">
        <f t="shared" si="584"/>
        <v>1788580</v>
      </c>
      <c r="Q437" s="1178">
        <f t="shared" si="584"/>
        <v>0</v>
      </c>
    </row>
    <row r="438" spans="1:17" s="889" customFormat="1" ht="14">
      <c r="A438" s="879"/>
      <c r="B438" s="880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Q438" si="586">IF(H460=0,"",H432)</f>
        <v/>
      </c>
      <c r="I438" s="919" t="str">
        <f t="shared" si="586"/>
        <v/>
      </c>
      <c r="J438" s="919" t="str">
        <f t="shared" ref="J438:L438" si="587">IF(J460=0,"",J432)</f>
        <v/>
      </c>
      <c r="K438" s="919" t="str">
        <f t="shared" si="587"/>
        <v/>
      </c>
      <c r="L438" s="919" t="str">
        <f t="shared" si="587"/>
        <v/>
      </c>
      <c r="M438" s="919" t="str">
        <f t="shared" si="586"/>
        <v/>
      </c>
      <c r="N438" s="919" t="str">
        <f t="shared" si="586"/>
        <v/>
      </c>
      <c r="O438" s="919" t="str">
        <f t="shared" si="586"/>
        <v/>
      </c>
      <c r="P438" s="919" t="str">
        <f t="shared" si="586"/>
        <v/>
      </c>
      <c r="Q438" s="1182" t="str">
        <f t="shared" si="586"/>
        <v/>
      </c>
    </row>
    <row r="439" spans="1:17" s="889" customFormat="1" ht="14">
      <c r="A439" s="1162"/>
      <c r="B439" s="1163"/>
      <c r="C439" s="2784" t="s">
        <v>2659</v>
      </c>
      <c r="D439" s="2784"/>
      <c r="E439" s="2785"/>
      <c r="F439" s="939">
        <f>F437+F438-F447</f>
        <v>455862668</v>
      </c>
      <c r="G439" s="1064"/>
      <c r="H439" s="1064"/>
      <c r="I439" s="1064"/>
      <c r="J439" s="1064"/>
      <c r="K439" s="1064"/>
      <c r="L439" s="1064"/>
      <c r="M439" s="1064"/>
      <c r="N439" s="1064"/>
      <c r="O439" s="1064"/>
      <c r="P439" s="1064"/>
      <c r="Q439" s="1065"/>
    </row>
    <row r="440" spans="1:17" s="889" customFormat="1" ht="14">
      <c r="A440" s="870"/>
      <c r="B440" s="871"/>
      <c r="C440" s="871"/>
      <c r="D440" s="1183"/>
      <c r="E440" s="874" t="str">
        <f>E302</f>
        <v>無し</v>
      </c>
      <c r="F440" s="2786" t="s">
        <v>2660</v>
      </c>
      <c r="G440" s="2787"/>
      <c r="H440" s="1068"/>
      <c r="I440" s="1068"/>
      <c r="J440" s="1068"/>
      <c r="K440" s="1068"/>
      <c r="L440" s="1068"/>
      <c r="M440" s="1068"/>
      <c r="N440" s="1068"/>
      <c r="O440" s="1068"/>
      <c r="P440" s="1068"/>
      <c r="Q440" s="1069"/>
    </row>
    <row r="441" spans="1:17" s="889" customFormat="1" ht="14">
      <c r="A441" s="2788" t="s">
        <v>2661</v>
      </c>
      <c r="B441" s="2789"/>
      <c r="C441" s="2790"/>
      <c r="D441" s="1184"/>
      <c r="E441" s="1185" t="str">
        <f>+E303</f>
        <v>有り</v>
      </c>
      <c r="F441" s="2791" t="s">
        <v>2662</v>
      </c>
      <c r="G441" s="2792"/>
      <c r="H441" s="1064"/>
      <c r="I441" s="1064"/>
      <c r="J441" s="1064"/>
      <c r="K441" s="1064"/>
      <c r="L441" s="1064"/>
      <c r="M441" s="1064"/>
      <c r="N441" s="1064"/>
      <c r="O441" s="1064"/>
      <c r="P441" s="1064"/>
      <c r="Q441" s="1065"/>
    </row>
    <row r="442" spans="1:17" s="889" customFormat="1" ht="14">
      <c r="A442" s="2793"/>
      <c r="B442" s="1186" t="s">
        <v>161</v>
      </c>
      <c r="C442" s="1187" t="s">
        <v>2663</v>
      </c>
      <c r="D442" s="1188">
        <v>1</v>
      </c>
      <c r="E442" s="1189">
        <f>+G511/100</f>
        <v>0.11019999999999999</v>
      </c>
      <c r="F442" s="900">
        <f>SUM(G442:Q442)</f>
        <v>455862668</v>
      </c>
      <c r="G442" s="1068">
        <f t="shared" ref="G442:Q442" si="588">+G437-G447</f>
        <v>39155022</v>
      </c>
      <c r="H442" s="1068">
        <f t="shared" si="588"/>
        <v>24600996</v>
      </c>
      <c r="I442" s="1068">
        <f>+I437-I447</f>
        <v>2353309</v>
      </c>
      <c r="J442" s="1068">
        <f t="shared" ref="J442:L442" si="589">+J437-J447</f>
        <v>127959114</v>
      </c>
      <c r="K442" s="1068">
        <f t="shared" si="589"/>
        <v>11481949</v>
      </c>
      <c r="L442" s="1068">
        <f t="shared" si="589"/>
        <v>52298290</v>
      </c>
      <c r="M442" s="1068">
        <f t="shared" si="588"/>
        <v>31650790</v>
      </c>
      <c r="N442" s="1068">
        <f t="shared" si="588"/>
        <v>162845975</v>
      </c>
      <c r="O442" s="1068">
        <f t="shared" si="588"/>
        <v>1728643</v>
      </c>
      <c r="P442" s="1068">
        <f t="shared" si="588"/>
        <v>1788580</v>
      </c>
      <c r="Q442" s="1069">
        <f t="shared" si="588"/>
        <v>0</v>
      </c>
    </row>
    <row r="443" spans="1:17" s="889" customFormat="1" ht="14">
      <c r="A443" s="2753"/>
      <c r="B443" s="2758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0.11019999999999999</v>
      </c>
      <c r="F443" s="904">
        <f>SUM(G443:Q443)</f>
        <v>455862668</v>
      </c>
      <c r="G443" s="905">
        <f>IF(G460=0,+G442,0)</f>
        <v>39155022</v>
      </c>
      <c r="H443" s="905">
        <f>IF(H460=0,+H442,0)</f>
        <v>24600996</v>
      </c>
      <c r="I443" s="905">
        <f t="shared" ref="I443:Q443" si="590">IF(I460=0,+I442,0)</f>
        <v>2353309</v>
      </c>
      <c r="J443" s="905">
        <f t="shared" ref="J443:L443" si="591">IF(J460=0,+J442,0)</f>
        <v>127959114</v>
      </c>
      <c r="K443" s="905">
        <f t="shared" si="591"/>
        <v>11481949</v>
      </c>
      <c r="L443" s="905">
        <f t="shared" si="591"/>
        <v>52298290</v>
      </c>
      <c r="M443" s="905">
        <f t="shared" si="590"/>
        <v>31650790</v>
      </c>
      <c r="N443" s="905">
        <f t="shared" si="590"/>
        <v>162845975</v>
      </c>
      <c r="O443" s="905">
        <f t="shared" si="590"/>
        <v>1728643</v>
      </c>
      <c r="P443" s="905">
        <f t="shared" si="590"/>
        <v>1788580</v>
      </c>
      <c r="Q443" s="906">
        <f t="shared" si="590"/>
        <v>0</v>
      </c>
    </row>
    <row r="444" spans="1:17" s="889" customFormat="1" ht="14">
      <c r="A444" s="2753"/>
      <c r="B444" s="2757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SUM(G444:Q444)</f>
        <v>455862668</v>
      </c>
      <c r="G444" s="905">
        <f>IF(G460=0,+G442,0)</f>
        <v>39155022</v>
      </c>
      <c r="H444" s="905">
        <f t="shared" ref="H444:Q444" si="592">IF(H460=0,+H442,0)</f>
        <v>24600996</v>
      </c>
      <c r="I444" s="905">
        <f t="shared" si="592"/>
        <v>2353309</v>
      </c>
      <c r="J444" s="905">
        <f t="shared" ref="J444:L444" si="593">IF(J460=0,+J442,0)</f>
        <v>127959114</v>
      </c>
      <c r="K444" s="905">
        <f t="shared" si="593"/>
        <v>11481949</v>
      </c>
      <c r="L444" s="905">
        <f t="shared" si="593"/>
        <v>52298290</v>
      </c>
      <c r="M444" s="905">
        <f t="shared" si="592"/>
        <v>31650790</v>
      </c>
      <c r="N444" s="905">
        <f t="shared" si="592"/>
        <v>162845975</v>
      </c>
      <c r="O444" s="905">
        <f t="shared" si="592"/>
        <v>1728643</v>
      </c>
      <c r="P444" s="905">
        <f t="shared" si="592"/>
        <v>1788580</v>
      </c>
      <c r="Q444" s="906">
        <f t="shared" si="592"/>
        <v>0</v>
      </c>
    </row>
    <row r="445" spans="1:17" s="889" customFormat="1" ht="14">
      <c r="A445" s="2753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5"/>
      <c r="O445" s="905"/>
      <c r="P445" s="905"/>
      <c r="Q445" s="906"/>
    </row>
    <row r="446" spans="1:17" s="889" customFormat="1" ht="14">
      <c r="A446" s="2753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5"/>
      <c r="O446" s="905"/>
      <c r="P446" s="905"/>
      <c r="Q446" s="906"/>
    </row>
    <row r="447" spans="1:17" s="889" customFormat="1" ht="14">
      <c r="A447" s="2753"/>
      <c r="B447" s="2758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SUM(G447:Q447)</f>
        <v>0</v>
      </c>
      <c r="G447" s="905">
        <f t="shared" ref="G447:Q447" si="594">+G352</f>
        <v>0</v>
      </c>
      <c r="H447" s="905">
        <f t="shared" si="594"/>
        <v>0</v>
      </c>
      <c r="I447" s="905">
        <f t="shared" si="594"/>
        <v>0</v>
      </c>
      <c r="J447" s="905">
        <f t="shared" ref="J447:L447" si="595">+J352</f>
        <v>0</v>
      </c>
      <c r="K447" s="905">
        <f t="shared" si="595"/>
        <v>0</v>
      </c>
      <c r="L447" s="905">
        <f t="shared" si="595"/>
        <v>0</v>
      </c>
      <c r="M447" s="905">
        <f t="shared" si="594"/>
        <v>0</v>
      </c>
      <c r="N447" s="905">
        <f t="shared" si="594"/>
        <v>0</v>
      </c>
      <c r="O447" s="905">
        <f t="shared" si="594"/>
        <v>0</v>
      </c>
      <c r="P447" s="905">
        <f t="shared" si="594"/>
        <v>0</v>
      </c>
      <c r="Q447" s="906">
        <f t="shared" si="594"/>
        <v>0</v>
      </c>
    </row>
    <row r="448" spans="1:17" s="889" customFormat="1" ht="14">
      <c r="A448" s="2753"/>
      <c r="B448" s="2756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5"/>
      <c r="O448" s="905"/>
      <c r="P448" s="905"/>
      <c r="Q448" s="906"/>
    </row>
    <row r="449" spans="1:17" s="889" customFormat="1" ht="14">
      <c r="A449" s="2754"/>
      <c r="B449" s="2759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4"/>
      <c r="O449" s="1064"/>
      <c r="P449" s="1064"/>
      <c r="Q449" s="1065"/>
    </row>
    <row r="450" spans="1:17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8"/>
      <c r="O450" s="1068"/>
      <c r="P450" s="1068"/>
      <c r="Q450" s="1069"/>
    </row>
    <row r="451" spans="1:17" s="889" customFormat="1" ht="14">
      <c r="A451" s="2788" t="s">
        <v>2668</v>
      </c>
      <c r="B451" s="2789"/>
      <c r="C451" s="2790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4"/>
      <c r="O451" s="1064"/>
      <c r="P451" s="1064"/>
      <c r="Q451" s="1065"/>
    </row>
    <row r="452" spans="1:17" s="889" customFormat="1" ht="14">
      <c r="A452" s="879"/>
      <c r="B452" s="1204" t="s">
        <v>161</v>
      </c>
      <c r="C452" s="1187" t="s">
        <v>2663</v>
      </c>
      <c r="D452" s="1188">
        <f t="shared" ref="D452:E454" si="596">+D442</f>
        <v>1</v>
      </c>
      <c r="E452" s="1205">
        <f>+E442</f>
        <v>0.11019999999999999</v>
      </c>
      <c r="F452" s="904">
        <f>INT(D452*E452*F442)</f>
        <v>50236066</v>
      </c>
      <c r="G452" s="1068">
        <f>F452-SUM(H452:Q452)</f>
        <v>4314883</v>
      </c>
      <c r="H452" s="1068">
        <f>IF(H442=0,0,ROUND($F452/$F442*H442,0))</f>
        <v>2711030</v>
      </c>
      <c r="I452" s="1068">
        <f t="shared" ref="I452:Q452" si="597">IF(I442=0,0,ROUND($F452/$F442*I442,0))</f>
        <v>259335</v>
      </c>
      <c r="J452" s="1068">
        <f t="shared" ref="J452:L452" si="598">IF(J442=0,0,ROUND($F452/$F442*J442,0))</f>
        <v>14101094</v>
      </c>
      <c r="K452" s="1068">
        <f t="shared" si="598"/>
        <v>1265311</v>
      </c>
      <c r="L452" s="1068">
        <f t="shared" si="598"/>
        <v>5763272</v>
      </c>
      <c r="M452" s="1068">
        <f t="shared" si="597"/>
        <v>3487917</v>
      </c>
      <c r="N452" s="1068">
        <f t="shared" si="597"/>
        <v>17945626</v>
      </c>
      <c r="O452" s="1068">
        <f t="shared" si="597"/>
        <v>190496</v>
      </c>
      <c r="P452" s="1068">
        <f t="shared" si="597"/>
        <v>197102</v>
      </c>
      <c r="Q452" s="1069">
        <f t="shared" si="597"/>
        <v>0</v>
      </c>
    </row>
    <row r="453" spans="1:17" s="889" customFormat="1" ht="14">
      <c r="A453" s="879"/>
      <c r="B453" s="2758" t="s">
        <v>2664</v>
      </c>
      <c r="C453" s="903" t="s">
        <v>2665</v>
      </c>
      <c r="D453" s="1193">
        <f t="shared" si="596"/>
        <v>0.05</v>
      </c>
      <c r="E453" s="1104">
        <f t="shared" si="596"/>
        <v>0.11019999999999999</v>
      </c>
      <c r="F453" s="904">
        <f>INT(D453*E453*F443)</f>
        <v>2511803</v>
      </c>
      <c r="G453" s="905">
        <f>F453-SUM(H453:Q453)</f>
        <v>215743</v>
      </c>
      <c r="H453" s="905">
        <f t="shared" ref="H453:Q454" si="599">IF(H443=0,0,ROUND($F453/$F443*H443,0))</f>
        <v>135551</v>
      </c>
      <c r="I453" s="905">
        <f t="shared" si="599"/>
        <v>12967</v>
      </c>
      <c r="J453" s="905">
        <f t="shared" ref="J453:L453" si="600">IF(J443=0,0,ROUND($F453/$F443*J443,0))</f>
        <v>705055</v>
      </c>
      <c r="K453" s="905">
        <f t="shared" si="600"/>
        <v>63266</v>
      </c>
      <c r="L453" s="905">
        <f t="shared" si="600"/>
        <v>288164</v>
      </c>
      <c r="M453" s="905">
        <f t="shared" si="599"/>
        <v>174396</v>
      </c>
      <c r="N453" s="905">
        <f t="shared" si="599"/>
        <v>897281</v>
      </c>
      <c r="O453" s="905">
        <f t="shared" si="599"/>
        <v>9525</v>
      </c>
      <c r="P453" s="905">
        <f t="shared" si="599"/>
        <v>9855</v>
      </c>
      <c r="Q453" s="906">
        <f t="shared" si="599"/>
        <v>0</v>
      </c>
    </row>
    <row r="454" spans="1:17" s="889" customFormat="1" ht="14">
      <c r="A454" s="879"/>
      <c r="B454" s="2757"/>
      <c r="C454" s="903" t="s">
        <v>2666</v>
      </c>
      <c r="D454" s="1193">
        <f t="shared" si="596"/>
        <v>1</v>
      </c>
      <c r="E454" s="1104">
        <f t="shared" si="596"/>
        <v>4.0000000000000002E-4</v>
      </c>
      <c r="F454" s="904">
        <f>INT(D454*E454*F444)</f>
        <v>182345</v>
      </c>
      <c r="G454" s="905">
        <f>F454-SUM(H454:Q454)</f>
        <v>15664</v>
      </c>
      <c r="H454" s="905">
        <f>IF(H444=0,0,ROUND($F454/$F444*H444,0))</f>
        <v>9840</v>
      </c>
      <c r="I454" s="905">
        <f t="shared" si="599"/>
        <v>941</v>
      </c>
      <c r="J454" s="905">
        <f t="shared" ref="J454:L454" si="601">IF(J444=0,0,ROUND($F454/$F444*J444,0))</f>
        <v>51184</v>
      </c>
      <c r="K454" s="905">
        <f t="shared" si="601"/>
        <v>4593</v>
      </c>
      <c r="L454" s="905">
        <f t="shared" si="601"/>
        <v>20919</v>
      </c>
      <c r="M454" s="905">
        <f t="shared" si="599"/>
        <v>12660</v>
      </c>
      <c r="N454" s="905">
        <f t="shared" si="599"/>
        <v>65138</v>
      </c>
      <c r="O454" s="905">
        <f t="shared" si="599"/>
        <v>691</v>
      </c>
      <c r="P454" s="905">
        <f t="shared" si="599"/>
        <v>715</v>
      </c>
      <c r="Q454" s="906">
        <f t="shared" si="599"/>
        <v>0</v>
      </c>
    </row>
    <row r="455" spans="1:17" s="889" customFormat="1" ht="14">
      <c r="A455" s="879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5"/>
      <c r="O455" s="905"/>
      <c r="P455" s="905"/>
      <c r="Q455" s="906"/>
    </row>
    <row r="456" spans="1:17" s="889" customFormat="1" ht="14">
      <c r="A456" s="879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5"/>
      <c r="O456" s="905"/>
      <c r="P456" s="905"/>
      <c r="Q456" s="906"/>
    </row>
    <row r="457" spans="1:17" s="889" customFormat="1" ht="14">
      <c r="A457" s="879"/>
      <c r="B457" s="2758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F457-SUM(H457:Q457)</f>
        <v>0</v>
      </c>
      <c r="H457" s="905">
        <f t="shared" ref="H457:Q457" si="602">IF(H447=0,0,ROUND($F457/$F447*H447,0))</f>
        <v>0</v>
      </c>
      <c r="I457" s="905">
        <f t="shared" si="602"/>
        <v>0</v>
      </c>
      <c r="J457" s="905">
        <f t="shared" ref="J457:L457" si="603">IF(J447=0,0,ROUND($F457/$F447*J447,0))</f>
        <v>0</v>
      </c>
      <c r="K457" s="905">
        <f t="shared" si="603"/>
        <v>0</v>
      </c>
      <c r="L457" s="905">
        <f t="shared" si="603"/>
        <v>0</v>
      </c>
      <c r="M457" s="905">
        <f t="shared" si="602"/>
        <v>0</v>
      </c>
      <c r="N457" s="905">
        <f t="shared" si="602"/>
        <v>0</v>
      </c>
      <c r="O457" s="905">
        <f t="shared" si="602"/>
        <v>0</v>
      </c>
      <c r="P457" s="905">
        <f t="shared" si="602"/>
        <v>0</v>
      </c>
      <c r="Q457" s="906">
        <f t="shared" si="602"/>
        <v>0</v>
      </c>
    </row>
    <row r="458" spans="1:17" s="889" customFormat="1" ht="14">
      <c r="A458" s="879"/>
      <c r="B458" s="2756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5"/>
      <c r="O458" s="905"/>
      <c r="P458" s="905"/>
      <c r="Q458" s="906"/>
    </row>
    <row r="459" spans="1:17" s="889" customFormat="1" ht="14">
      <c r="A459" s="1206"/>
      <c r="B459" s="2757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5"/>
      <c r="O459" s="905"/>
      <c r="P459" s="905"/>
      <c r="Q459" s="906"/>
    </row>
    <row r="460" spans="1:17" s="889" customFormat="1" ht="14">
      <c r="A460" s="1206"/>
      <c r="B460" s="2794" t="s">
        <v>2650</v>
      </c>
      <c r="C460" s="1120" t="s">
        <v>2669</v>
      </c>
      <c r="D460" s="1207"/>
      <c r="E460" s="1208"/>
      <c r="F460" s="1209">
        <f>SUM(G460:Q460)</f>
        <v>0</v>
      </c>
      <c r="G460" s="1308">
        <f t="shared" ref="G460:Q460" si="604">+G245+G68</f>
        <v>0</v>
      </c>
      <c r="H460" s="1308">
        <f t="shared" si="604"/>
        <v>0</v>
      </c>
      <c r="I460" s="1308">
        <f t="shared" si="604"/>
        <v>0</v>
      </c>
      <c r="J460" s="1308">
        <f t="shared" ref="J460:L460" si="605">+J245+J68</f>
        <v>0</v>
      </c>
      <c r="K460" s="1308">
        <f t="shared" si="605"/>
        <v>0</v>
      </c>
      <c r="L460" s="1308">
        <f t="shared" si="605"/>
        <v>0</v>
      </c>
      <c r="M460" s="1308">
        <f t="shared" si="604"/>
        <v>0</v>
      </c>
      <c r="N460" s="1308">
        <f t="shared" si="604"/>
        <v>0</v>
      </c>
      <c r="O460" s="1308">
        <f t="shared" si="604"/>
        <v>0</v>
      </c>
      <c r="P460" s="1308">
        <f t="shared" si="604"/>
        <v>0</v>
      </c>
      <c r="Q460" s="1309">
        <f t="shared" si="604"/>
        <v>0</v>
      </c>
    </row>
    <row r="461" spans="1:17" s="889" customFormat="1" ht="14">
      <c r="A461" s="879"/>
      <c r="B461" s="2810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5"/>
      <c r="O461" s="905"/>
      <c r="P461" s="905"/>
      <c r="Q461" s="906"/>
    </row>
    <row r="462" spans="1:17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8"/>
      <c r="O462" s="1068"/>
      <c r="P462" s="1068"/>
      <c r="Q462" s="1069"/>
    </row>
    <row r="463" spans="1:17" s="889" customFormat="1" ht="14">
      <c r="A463" s="1213"/>
      <c r="B463" s="1073"/>
      <c r="C463" s="698" t="s">
        <v>2672</v>
      </c>
      <c r="D463" s="1195"/>
      <c r="E463" s="903"/>
      <c r="F463" s="904">
        <f>SUM(G463:Q463)</f>
        <v>52930214</v>
      </c>
      <c r="G463" s="905">
        <f>SUM(G452:G461)</f>
        <v>4546290</v>
      </c>
      <c r="H463" s="905">
        <f t="shared" ref="H463:Q463" si="606">SUM(H452:H461)</f>
        <v>2856421</v>
      </c>
      <c r="I463" s="905">
        <f t="shared" si="606"/>
        <v>273243</v>
      </c>
      <c r="J463" s="905">
        <f t="shared" ref="J463:L463" si="607">SUM(J452:J461)</f>
        <v>14857333</v>
      </c>
      <c r="K463" s="905">
        <f t="shared" si="607"/>
        <v>1333170</v>
      </c>
      <c r="L463" s="905">
        <f t="shared" si="607"/>
        <v>6072355</v>
      </c>
      <c r="M463" s="905">
        <f t="shared" si="606"/>
        <v>3674973</v>
      </c>
      <c r="N463" s="905">
        <f t="shared" si="606"/>
        <v>18908045</v>
      </c>
      <c r="O463" s="905">
        <f t="shared" si="606"/>
        <v>200712</v>
      </c>
      <c r="P463" s="905">
        <f t="shared" si="606"/>
        <v>207672</v>
      </c>
      <c r="Q463" s="906">
        <f t="shared" si="606"/>
        <v>0</v>
      </c>
    </row>
    <row r="464" spans="1:17" s="889" customFormat="1" ht="14">
      <c r="A464" s="1213"/>
      <c r="B464" s="1073"/>
      <c r="C464" s="698" t="s">
        <v>2653</v>
      </c>
      <c r="D464" s="1195"/>
      <c r="E464" s="903"/>
      <c r="F464" s="904">
        <f>SUM(G464:Q464)</f>
        <v>455862668</v>
      </c>
      <c r="G464" s="905">
        <f t="shared" ref="G464:Q464" si="608">+G432</f>
        <v>39155022</v>
      </c>
      <c r="H464" s="905">
        <f t="shared" si="608"/>
        <v>24600996</v>
      </c>
      <c r="I464" s="905">
        <f t="shared" si="608"/>
        <v>2353309</v>
      </c>
      <c r="J464" s="905">
        <f t="shared" ref="J464:L464" si="609">+J432</f>
        <v>127959114</v>
      </c>
      <c r="K464" s="905">
        <f t="shared" si="609"/>
        <v>11481949</v>
      </c>
      <c r="L464" s="905">
        <f t="shared" si="609"/>
        <v>52298290</v>
      </c>
      <c r="M464" s="905">
        <f t="shared" si="608"/>
        <v>31650790</v>
      </c>
      <c r="N464" s="905">
        <f t="shared" si="608"/>
        <v>162845975</v>
      </c>
      <c r="O464" s="905">
        <f t="shared" si="608"/>
        <v>1728643</v>
      </c>
      <c r="P464" s="905">
        <f t="shared" si="608"/>
        <v>1788580</v>
      </c>
      <c r="Q464" s="906">
        <f t="shared" si="608"/>
        <v>0</v>
      </c>
    </row>
    <row r="465" spans="1:17" s="889" customFormat="1" ht="15" thickBot="1">
      <c r="A465" s="1214"/>
      <c r="B465" s="1215"/>
      <c r="C465" s="1216" t="s">
        <v>2673</v>
      </c>
      <c r="D465" s="1217"/>
      <c r="E465" s="1218"/>
      <c r="F465" s="1135">
        <f>SUM(G465:Q465)</f>
        <v>508792882</v>
      </c>
      <c r="G465" s="1219">
        <f t="shared" ref="G465:Q465" si="610">SUM(G463:G464)</f>
        <v>43701312</v>
      </c>
      <c r="H465" s="1219">
        <f t="shared" si="610"/>
        <v>27457417</v>
      </c>
      <c r="I465" s="1219">
        <f t="shared" si="610"/>
        <v>2626552</v>
      </c>
      <c r="J465" s="1219">
        <f t="shared" ref="J465:L465" si="611">SUM(J463:J464)</f>
        <v>142816447</v>
      </c>
      <c r="K465" s="1219">
        <f t="shared" si="611"/>
        <v>12815119</v>
      </c>
      <c r="L465" s="1219">
        <f t="shared" si="611"/>
        <v>58370645</v>
      </c>
      <c r="M465" s="1219">
        <f t="shared" si="610"/>
        <v>35325763</v>
      </c>
      <c r="N465" s="1219">
        <f t="shared" si="610"/>
        <v>181754020</v>
      </c>
      <c r="O465" s="1219">
        <f t="shared" si="610"/>
        <v>1929355</v>
      </c>
      <c r="P465" s="1219">
        <f t="shared" si="610"/>
        <v>1996252</v>
      </c>
      <c r="Q465" s="1220">
        <f t="shared" si="610"/>
        <v>0</v>
      </c>
    </row>
    <row r="466" spans="1:17" s="889" customFormat="1" ht="15" thickTop="1">
      <c r="A466" s="879"/>
      <c r="B466" s="880"/>
      <c r="C466" s="880"/>
      <c r="D466" s="918"/>
      <c r="E466" s="918"/>
      <c r="F466" s="919"/>
      <c r="G466" s="1221">
        <f t="shared" ref="G466:Q466" si="612">ROUNDDOWN(G465,-3)</f>
        <v>43701000</v>
      </c>
      <c r="H466" s="1221">
        <f t="shared" si="612"/>
        <v>27457000</v>
      </c>
      <c r="I466" s="1221">
        <f t="shared" si="612"/>
        <v>2626000</v>
      </c>
      <c r="J466" s="1221">
        <f t="shared" ref="J466:L466" si="613">ROUNDDOWN(J465,-3)</f>
        <v>142816000</v>
      </c>
      <c r="K466" s="1221">
        <f t="shared" si="613"/>
        <v>12815000</v>
      </c>
      <c r="L466" s="1221">
        <f t="shared" si="613"/>
        <v>58370000</v>
      </c>
      <c r="M466" s="1221">
        <f t="shared" si="612"/>
        <v>35325000</v>
      </c>
      <c r="N466" s="1221">
        <f t="shared" si="612"/>
        <v>181754000</v>
      </c>
      <c r="O466" s="1221">
        <f t="shared" si="612"/>
        <v>1929000</v>
      </c>
      <c r="P466" s="1221">
        <f t="shared" si="612"/>
        <v>1996000</v>
      </c>
      <c r="Q466" s="1222">
        <f t="shared" si="612"/>
        <v>0</v>
      </c>
    </row>
    <row r="467" spans="1:17" s="889" customFormat="1" ht="14">
      <c r="A467" s="1213"/>
      <c r="B467" s="1073"/>
      <c r="C467" s="698" t="s">
        <v>2653</v>
      </c>
      <c r="D467" s="1195"/>
      <c r="E467" s="903"/>
      <c r="F467" s="904">
        <f>SUM(G467:Q467)</f>
        <v>455862668</v>
      </c>
      <c r="G467" s="905">
        <f>+G464</f>
        <v>39155022</v>
      </c>
      <c r="H467" s="905">
        <f t="shared" ref="H467:Q467" si="614">+H464</f>
        <v>24600996</v>
      </c>
      <c r="I467" s="905">
        <f t="shared" si="614"/>
        <v>2353309</v>
      </c>
      <c r="J467" s="905">
        <f t="shared" ref="J467:L467" si="615">+J464</f>
        <v>127959114</v>
      </c>
      <c r="K467" s="905">
        <f t="shared" si="615"/>
        <v>11481949</v>
      </c>
      <c r="L467" s="905">
        <f t="shared" si="615"/>
        <v>52298290</v>
      </c>
      <c r="M467" s="905">
        <f t="shared" si="614"/>
        <v>31650790</v>
      </c>
      <c r="N467" s="905">
        <f t="shared" si="614"/>
        <v>162845975</v>
      </c>
      <c r="O467" s="905">
        <f t="shared" si="614"/>
        <v>1728643</v>
      </c>
      <c r="P467" s="905">
        <f t="shared" si="614"/>
        <v>1788580</v>
      </c>
      <c r="Q467" s="906">
        <f t="shared" si="614"/>
        <v>0</v>
      </c>
    </row>
    <row r="468" spans="1:17" s="889" customFormat="1" ht="14">
      <c r="A468" s="1213"/>
      <c r="B468" s="1073"/>
      <c r="C468" s="698" t="s">
        <v>2674</v>
      </c>
      <c r="D468" s="1195"/>
      <c r="E468" s="1192"/>
      <c r="F468" s="904">
        <f>SUM(G468:Q468)</f>
        <v>52837332</v>
      </c>
      <c r="G468" s="905">
        <f>+G463-(G465-G470)</f>
        <v>4536978</v>
      </c>
      <c r="H468" s="905">
        <f t="shared" ref="H468:Q468" si="616">+H463-(H465-H470)</f>
        <v>2851004</v>
      </c>
      <c r="I468" s="905">
        <f t="shared" si="616"/>
        <v>272691</v>
      </c>
      <c r="J468" s="905">
        <f t="shared" ref="J468:L468" si="617">+J463-(J465-J470)</f>
        <v>14831886</v>
      </c>
      <c r="K468" s="905">
        <f t="shared" si="617"/>
        <v>1331051</v>
      </c>
      <c r="L468" s="905">
        <f t="shared" si="617"/>
        <v>6061710</v>
      </c>
      <c r="M468" s="905">
        <f t="shared" si="616"/>
        <v>3668210</v>
      </c>
      <c r="N468" s="905">
        <f t="shared" si="616"/>
        <v>18876025</v>
      </c>
      <c r="O468" s="905">
        <f t="shared" si="616"/>
        <v>200357</v>
      </c>
      <c r="P468" s="905">
        <f t="shared" si="616"/>
        <v>207420</v>
      </c>
      <c r="Q468" s="906">
        <f t="shared" si="616"/>
        <v>0</v>
      </c>
    </row>
    <row r="469" spans="1:17" s="889" customFormat="1" ht="14">
      <c r="A469" s="1213"/>
      <c r="B469" s="1073"/>
      <c r="C469" s="1073"/>
      <c r="D469" s="903"/>
      <c r="E469" s="1223">
        <f>SUM(G466:Q466)</f>
        <v>508789000</v>
      </c>
      <c r="F469" s="904" t="s">
        <v>2675</v>
      </c>
      <c r="G469" s="905">
        <f t="shared" ref="G469:Q469" si="618">+G463-G468</f>
        <v>9312</v>
      </c>
      <c r="H469" s="905">
        <f t="shared" si="618"/>
        <v>5417</v>
      </c>
      <c r="I469" s="905">
        <f t="shared" si="618"/>
        <v>552</v>
      </c>
      <c r="J469" s="905">
        <f t="shared" ref="J469:L469" si="619">+J463-J468</f>
        <v>25447</v>
      </c>
      <c r="K469" s="905">
        <f t="shared" si="619"/>
        <v>2119</v>
      </c>
      <c r="L469" s="905">
        <f t="shared" si="619"/>
        <v>10645</v>
      </c>
      <c r="M469" s="905">
        <f t="shared" si="618"/>
        <v>6763</v>
      </c>
      <c r="N469" s="905">
        <f t="shared" si="618"/>
        <v>32020</v>
      </c>
      <c r="O469" s="905">
        <f t="shared" si="618"/>
        <v>355</v>
      </c>
      <c r="P469" s="1224">
        <f t="shared" si="618"/>
        <v>252</v>
      </c>
      <c r="Q469" s="1225">
        <f t="shared" si="618"/>
        <v>0</v>
      </c>
    </row>
    <row r="470" spans="1:17" s="889" customFormat="1" ht="14">
      <c r="A470" s="1226"/>
      <c r="B470" s="1054"/>
      <c r="C470" s="1054" t="s">
        <v>2676</v>
      </c>
      <c r="D470" s="1227"/>
      <c r="E470" s="1223">
        <f>ROUNDDOWN(E469,4-LEN(E469))</f>
        <v>508700000</v>
      </c>
      <c r="F470" s="1228">
        <f>+E470</f>
        <v>508700000</v>
      </c>
      <c r="G470" s="1224">
        <f>IF(F471+SUM(H470:Q470)=F470,F471,F470-SUM(H470:Q470))</f>
        <v>43692000</v>
      </c>
      <c r="H470" s="1224">
        <f>IF(H460=0,+H466-ROUND($E$471*H465/$F$465,-3),H465)</f>
        <v>27452000</v>
      </c>
      <c r="I470" s="1224">
        <f t="shared" ref="I470:Q470" si="620">IF(I460=0,+I466-ROUND($E$471*I465/$F$465,-3),I465)</f>
        <v>2626000</v>
      </c>
      <c r="J470" s="1224">
        <f t="shared" ref="J470:L470" si="621">IF(J460=0,+J466-ROUND($E$471*J465/$F$465,-3),J465)</f>
        <v>142791000</v>
      </c>
      <c r="K470" s="1224">
        <f t="shared" si="621"/>
        <v>12813000</v>
      </c>
      <c r="L470" s="1224">
        <f t="shared" si="621"/>
        <v>58360000</v>
      </c>
      <c r="M470" s="1224">
        <f t="shared" si="620"/>
        <v>35319000</v>
      </c>
      <c r="N470" s="1224">
        <f t="shared" si="620"/>
        <v>181722000</v>
      </c>
      <c r="O470" s="1224">
        <f t="shared" si="620"/>
        <v>1929000</v>
      </c>
      <c r="P470" s="1224">
        <f t="shared" si="620"/>
        <v>1996000</v>
      </c>
      <c r="Q470" s="1225">
        <f t="shared" si="620"/>
        <v>0</v>
      </c>
    </row>
    <row r="471" spans="1:17" s="889" customFormat="1" ht="14">
      <c r="A471" s="1229"/>
      <c r="B471" s="1230"/>
      <c r="C471" s="1230"/>
      <c r="D471" s="1231"/>
      <c r="E471" s="1232">
        <f>E469-E470</f>
        <v>89000</v>
      </c>
      <c r="F471" s="1233">
        <f>+G466-ROUND($E$471*G465/$F$465,-3)</f>
        <v>43693000</v>
      </c>
      <c r="G471" s="1232">
        <f t="shared" ref="G471:Q471" si="622">IF(LEN(G465)&lt;=7,-3,IF(LEN(G465)=8,-4,IF(LEN(G465)&gt;=9,-5,-6)))</f>
        <v>-4</v>
      </c>
      <c r="H471" s="1232">
        <f t="shared" si="622"/>
        <v>-4</v>
      </c>
      <c r="I471" s="1232">
        <f t="shared" si="622"/>
        <v>-3</v>
      </c>
      <c r="J471" s="1232">
        <f t="shared" ref="J471:L471" si="623">IF(LEN(J465)&lt;=7,-3,IF(LEN(J465)=8,-4,IF(LEN(J465)&gt;=9,-5,-6)))</f>
        <v>-5</v>
      </c>
      <c r="K471" s="1232">
        <f t="shared" si="623"/>
        <v>-4</v>
      </c>
      <c r="L471" s="1232">
        <f t="shared" si="623"/>
        <v>-4</v>
      </c>
      <c r="M471" s="1232">
        <f t="shared" si="622"/>
        <v>-4</v>
      </c>
      <c r="N471" s="1232">
        <f t="shared" si="622"/>
        <v>-5</v>
      </c>
      <c r="O471" s="1232">
        <f t="shared" si="622"/>
        <v>-3</v>
      </c>
      <c r="P471" s="1232">
        <f t="shared" si="622"/>
        <v>-3</v>
      </c>
      <c r="Q471" s="1234">
        <f t="shared" si="622"/>
        <v>-3</v>
      </c>
    </row>
    <row r="472" spans="1:17" ht="15" thickBot="1">
      <c r="F472" s="1310"/>
      <c r="G472" s="1311"/>
    </row>
    <row r="473" spans="1:17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Q473" si="624">+G300</f>
        <v>16.600000000000001</v>
      </c>
      <c r="H473" s="1243">
        <f t="shared" si="624"/>
        <v>11</v>
      </c>
      <c r="I473" s="1243">
        <f t="shared" si="624"/>
        <v>16.600000000000001</v>
      </c>
      <c r="J473" s="1243">
        <f t="shared" ref="J473:L473" si="625">+J300</f>
        <v>16.600000000000001</v>
      </c>
      <c r="K473" s="1243">
        <f t="shared" si="625"/>
        <v>16.600000000000001</v>
      </c>
      <c r="L473" s="1243">
        <f t="shared" si="625"/>
        <v>16.600000000000001</v>
      </c>
      <c r="M473" s="1243">
        <f t="shared" si="624"/>
        <v>11</v>
      </c>
      <c r="N473" s="1243">
        <f t="shared" si="624"/>
        <v>16.600000000000001</v>
      </c>
      <c r="O473" s="1243">
        <f t="shared" si="624"/>
        <v>7.4</v>
      </c>
      <c r="P473" s="1243">
        <f t="shared" si="624"/>
        <v>7.4</v>
      </c>
      <c r="Q473" s="1244">
        <f t="shared" si="624"/>
        <v>0</v>
      </c>
    </row>
    <row r="474" spans="1:17" s="889" customFormat="1" ht="14">
      <c r="A474" s="2802"/>
      <c r="B474" s="2805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5.35</v>
      </c>
      <c r="H474" s="1248">
        <f t="shared" ref="H474:Q474" si="626">IF($F357&lt;=10000000,ROUND(7.56*(10000^-0.1105)*(H473^0.2389),2),ROUND(7.56*(($F357/1000)^-0.1105)*(H473^0.2389),2))</f>
        <v>4.8499999999999996</v>
      </c>
      <c r="I474" s="1248">
        <f t="shared" si="626"/>
        <v>5.35</v>
      </c>
      <c r="J474" s="1248">
        <f t="shared" ref="J474:L474" si="627">IF($F357&lt;=10000000,ROUND(7.56*(10000^-0.1105)*(J473^0.2389),2),ROUND(7.56*(($F357/1000)^-0.1105)*(J473^0.2389),2))</f>
        <v>5.35</v>
      </c>
      <c r="K474" s="1248">
        <f t="shared" si="627"/>
        <v>5.35</v>
      </c>
      <c r="L474" s="1248">
        <f t="shared" si="627"/>
        <v>5.35</v>
      </c>
      <c r="M474" s="1248">
        <f t="shared" si="626"/>
        <v>4.8499999999999996</v>
      </c>
      <c r="N474" s="1248">
        <f t="shared" si="626"/>
        <v>5.35</v>
      </c>
      <c r="O474" s="1248">
        <f t="shared" si="626"/>
        <v>4.41</v>
      </c>
      <c r="P474" s="1248">
        <f t="shared" si="626"/>
        <v>4.41</v>
      </c>
      <c r="Q474" s="1317">
        <f t="shared" si="626"/>
        <v>0</v>
      </c>
    </row>
    <row r="475" spans="1:17" s="889" customFormat="1" ht="14">
      <c r="A475" s="2803"/>
      <c r="B475" s="2806"/>
      <c r="C475" s="2808" t="s">
        <v>2682</v>
      </c>
      <c r="D475" s="1124"/>
      <c r="E475" s="1249"/>
      <c r="F475" s="1247" t="s">
        <v>2683</v>
      </c>
      <c r="G475" s="1250">
        <f>IF($F357&lt;=10000000,ROUND(4.33,2),0)</f>
        <v>4.33</v>
      </c>
      <c r="H475" s="1250">
        <f t="shared" ref="H475:Q475" si="628">IF($F357&lt;=10000000,ROUND(4.33,2),0)</f>
        <v>4.33</v>
      </c>
      <c r="I475" s="1250">
        <f t="shared" si="628"/>
        <v>4.33</v>
      </c>
      <c r="J475" s="1250">
        <f t="shared" ref="J475:L475" si="629">IF($F357&lt;=10000000,ROUND(4.33,2),0)</f>
        <v>4.33</v>
      </c>
      <c r="K475" s="1250">
        <f t="shared" si="629"/>
        <v>4.33</v>
      </c>
      <c r="L475" s="1250">
        <f t="shared" si="629"/>
        <v>4.33</v>
      </c>
      <c r="M475" s="1250">
        <f t="shared" si="628"/>
        <v>4.33</v>
      </c>
      <c r="N475" s="1250">
        <f t="shared" si="628"/>
        <v>4.33</v>
      </c>
      <c r="O475" s="1250">
        <f t="shared" si="628"/>
        <v>4.33</v>
      </c>
      <c r="P475" s="1250">
        <f t="shared" si="628"/>
        <v>4.33</v>
      </c>
      <c r="Q475" s="1318">
        <f t="shared" si="628"/>
        <v>4.33</v>
      </c>
    </row>
    <row r="476" spans="1:17" s="889" customFormat="1" ht="13.5" customHeight="1">
      <c r="A476" s="2803"/>
      <c r="B476" s="2806"/>
      <c r="C476" s="2809"/>
      <c r="D476" s="1251"/>
      <c r="E476" s="1252"/>
      <c r="F476" s="1247" t="s">
        <v>2684</v>
      </c>
      <c r="G476" s="1250">
        <f>IF($F357&lt;=10000000,ROUND(3.25,2),0)</f>
        <v>3.25</v>
      </c>
      <c r="H476" s="1250">
        <f t="shared" ref="H476:Q476" si="630">IF($F357&lt;=10000000,ROUND(3.25,2),0)</f>
        <v>3.25</v>
      </c>
      <c r="I476" s="1250">
        <f t="shared" si="630"/>
        <v>3.25</v>
      </c>
      <c r="J476" s="1250">
        <f t="shared" ref="J476:L476" si="631">IF($F357&lt;=10000000,ROUND(3.25,2),0)</f>
        <v>3.25</v>
      </c>
      <c r="K476" s="1250">
        <f t="shared" si="631"/>
        <v>3.25</v>
      </c>
      <c r="L476" s="1250">
        <f t="shared" si="631"/>
        <v>3.25</v>
      </c>
      <c r="M476" s="1250">
        <f t="shared" si="630"/>
        <v>3.25</v>
      </c>
      <c r="N476" s="1250">
        <f t="shared" si="630"/>
        <v>3.25</v>
      </c>
      <c r="O476" s="1250">
        <f t="shared" si="630"/>
        <v>3.25</v>
      </c>
      <c r="P476" s="1250">
        <f t="shared" si="630"/>
        <v>3.25</v>
      </c>
      <c r="Q476" s="1318">
        <f t="shared" si="630"/>
        <v>3.25</v>
      </c>
    </row>
    <row r="477" spans="1:17" s="889" customFormat="1" ht="14">
      <c r="A477" s="2803"/>
      <c r="B477" s="2806"/>
      <c r="C477" s="2808" t="s">
        <v>2685</v>
      </c>
      <c r="D477" s="1124"/>
      <c r="E477" s="1249"/>
      <c r="F477" s="1247" t="s">
        <v>2683</v>
      </c>
      <c r="G477" s="1253">
        <f>IF($F357&gt;10000000,ROUND(5.78*($F357/1000)^-0.0313,2),0)</f>
        <v>0</v>
      </c>
      <c r="H477" s="1253">
        <f t="shared" ref="H477:Q477" si="632">IF($F357&gt;10000000,ROUND(5.78*($F357/1000)^-0.0313,2),0)</f>
        <v>0</v>
      </c>
      <c r="I477" s="1253">
        <f t="shared" si="632"/>
        <v>0</v>
      </c>
      <c r="J477" s="1253">
        <f t="shared" ref="J477:L477" si="633">IF($F357&gt;10000000,ROUND(5.78*($F357/1000)^-0.0313,2),0)</f>
        <v>0</v>
      </c>
      <c r="K477" s="1253">
        <f t="shared" si="633"/>
        <v>0</v>
      </c>
      <c r="L477" s="1253">
        <f t="shared" si="633"/>
        <v>0</v>
      </c>
      <c r="M477" s="1253">
        <f t="shared" si="632"/>
        <v>0</v>
      </c>
      <c r="N477" s="1253">
        <f t="shared" si="632"/>
        <v>0</v>
      </c>
      <c r="O477" s="1253">
        <f t="shared" si="632"/>
        <v>0</v>
      </c>
      <c r="P477" s="1253">
        <f t="shared" si="632"/>
        <v>0</v>
      </c>
      <c r="Q477" s="1319">
        <f t="shared" si="632"/>
        <v>0</v>
      </c>
    </row>
    <row r="478" spans="1:17" s="889" customFormat="1" ht="13.5" customHeight="1">
      <c r="A478" s="2804"/>
      <c r="B478" s="2807"/>
      <c r="C478" s="2809"/>
      <c r="D478" s="1251"/>
      <c r="E478" s="1252"/>
      <c r="F478" s="1247" t="s">
        <v>2684</v>
      </c>
      <c r="G478" s="1253">
        <f>IF($F357&gt;10000000,ROUND(4.34*($F357/1000)^-0.0313,2),0)</f>
        <v>0</v>
      </c>
      <c r="H478" s="1253">
        <f t="shared" ref="H478:Q478" si="634">IF($F357&gt;10000000,ROUND(4.34*($F357/1000)^-0.0313,2),0)</f>
        <v>0</v>
      </c>
      <c r="I478" s="1253">
        <f t="shared" si="634"/>
        <v>0</v>
      </c>
      <c r="J478" s="1253">
        <f t="shared" ref="J478:L478" si="635">IF($F357&gt;10000000,ROUND(4.34*($F357/1000)^-0.0313,2),0)</f>
        <v>0</v>
      </c>
      <c r="K478" s="1253">
        <f t="shared" si="635"/>
        <v>0</v>
      </c>
      <c r="L478" s="1253">
        <f t="shared" si="635"/>
        <v>0</v>
      </c>
      <c r="M478" s="1253">
        <f t="shared" si="634"/>
        <v>0</v>
      </c>
      <c r="N478" s="1253">
        <f t="shared" si="634"/>
        <v>0</v>
      </c>
      <c r="O478" s="1253">
        <f t="shared" si="634"/>
        <v>0</v>
      </c>
      <c r="P478" s="1253">
        <f t="shared" si="634"/>
        <v>0</v>
      </c>
      <c r="Q478" s="1319">
        <f t="shared" si="634"/>
        <v>0</v>
      </c>
    </row>
    <row r="479" spans="1:17" s="889" customFormat="1" ht="13.5" customHeight="1">
      <c r="A479" s="2796" t="s">
        <v>2686</v>
      </c>
      <c r="B479" s="2797"/>
      <c r="C479" s="2797"/>
      <c r="D479" s="2797"/>
      <c r="E479" s="2797"/>
      <c r="F479" s="2798"/>
      <c r="G479" s="1253">
        <f>IF($F357&lt;=10000000,IF(G$474&gt;G$475,G$475,IF(G$474&lt;G$476,G$476,G$474)),IF(G$474&gt;G$477,G$477,IF(G$474&lt;G$478,G$478,G$474)))</f>
        <v>4.33</v>
      </c>
      <c r="H479" s="1253">
        <f t="shared" ref="H479:Q479" si="636">IF($F357&lt;=10000000,IF(H$474&gt;H$475,H$475,IF(H$474&lt;H$476,H$476,H$474)),IF(H$474&gt;H$477,H$477,IF(H$474&lt;H$478,H$478,H$474)))</f>
        <v>4.33</v>
      </c>
      <c r="I479" s="1253">
        <f t="shared" si="636"/>
        <v>4.33</v>
      </c>
      <c r="J479" s="1253">
        <f t="shared" ref="J479:L479" si="637">IF($F357&lt;=10000000,IF(J$474&gt;J$475,J$475,IF(J$474&lt;J$476,J$476,J$474)),IF(J$474&gt;J$477,J$477,IF(J$474&lt;J$478,J$478,J$474)))</f>
        <v>4.33</v>
      </c>
      <c r="K479" s="1253">
        <f t="shared" si="637"/>
        <v>4.33</v>
      </c>
      <c r="L479" s="1253">
        <f t="shared" si="637"/>
        <v>4.33</v>
      </c>
      <c r="M479" s="1253">
        <f t="shared" si="636"/>
        <v>4.33</v>
      </c>
      <c r="N479" s="1253">
        <f t="shared" si="636"/>
        <v>4.33</v>
      </c>
      <c r="O479" s="1253">
        <f t="shared" si="636"/>
        <v>4.33</v>
      </c>
      <c r="P479" s="1253">
        <f t="shared" si="636"/>
        <v>4.33</v>
      </c>
      <c r="Q479" s="1319">
        <f t="shared" si="636"/>
        <v>3.25</v>
      </c>
    </row>
    <row r="480" spans="1:17" s="889" customFormat="1" ht="15" thickBot="1">
      <c r="A480" s="2799" t="s">
        <v>2687</v>
      </c>
      <c r="B480" s="2800"/>
      <c r="C480" s="2800"/>
      <c r="D480" s="2800"/>
      <c r="E480" s="2800"/>
      <c r="F480" s="2801"/>
      <c r="G480" s="1259">
        <f>ROUND(G479*IF(AND(G305="駅施設",G306="無し"),0.7,IF(AND(G305="駅施設",G306="有り"),0.7,IF(AND(G305="地上建物",G306="無し"),0.9,IF(AND(G305="地上建物",G306="有り"),1,0)))),2)</f>
        <v>3.03</v>
      </c>
      <c r="H480" s="1259">
        <f t="shared" ref="H480:Q480" si="638">ROUND(H479*IF(AND(H305="駅施設",H306="無し"),0.7,IF(AND(H305="駅施設",H306="有り"),0.7,IF(AND(H305="地上建物",H306="無し"),0.9,IF(AND(H305="地上建物",H306="有り"),1,0)))),2)</f>
        <v>3.03</v>
      </c>
      <c r="I480" s="1259">
        <f t="shared" si="638"/>
        <v>3.03</v>
      </c>
      <c r="J480" s="1259">
        <f t="shared" ref="J480:L480" si="639">ROUND(J479*IF(AND(J305="駅施設",J306="無し"),0.7,IF(AND(J305="駅施設",J306="有り"),0.7,IF(AND(J305="地上建物",J306="無し"),0.9,IF(AND(J305="地上建物",J306="有り"),1,0)))),2)</f>
        <v>3.03</v>
      </c>
      <c r="K480" s="1259">
        <f t="shared" si="639"/>
        <v>3.03</v>
      </c>
      <c r="L480" s="1259">
        <f t="shared" si="639"/>
        <v>3.03</v>
      </c>
      <c r="M480" s="1259">
        <f t="shared" si="638"/>
        <v>3.03</v>
      </c>
      <c r="N480" s="1259">
        <f t="shared" si="638"/>
        <v>3.03</v>
      </c>
      <c r="O480" s="1259">
        <f t="shared" si="638"/>
        <v>3.03</v>
      </c>
      <c r="P480" s="1259">
        <f t="shared" si="638"/>
        <v>3.03</v>
      </c>
      <c r="Q480" s="1259">
        <f t="shared" si="638"/>
        <v>2.2799999999999998</v>
      </c>
    </row>
    <row r="481" spans="1:17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  <c r="O481" s="1255"/>
      <c r="P481" s="1255"/>
      <c r="Q481" s="1255"/>
    </row>
    <row r="482" spans="1:17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Q482" si="640">+G300</f>
        <v>16.600000000000001</v>
      </c>
      <c r="H482" s="1243">
        <f t="shared" si="640"/>
        <v>11</v>
      </c>
      <c r="I482" s="1243">
        <f t="shared" si="640"/>
        <v>16.600000000000001</v>
      </c>
      <c r="J482" s="1243">
        <f t="shared" ref="J482:L482" si="641">+J300</f>
        <v>16.600000000000001</v>
      </c>
      <c r="K482" s="1243">
        <f t="shared" si="641"/>
        <v>16.600000000000001</v>
      </c>
      <c r="L482" s="1243">
        <f t="shared" si="641"/>
        <v>16.600000000000001</v>
      </c>
      <c r="M482" s="1243">
        <f t="shared" si="640"/>
        <v>11</v>
      </c>
      <c r="N482" s="1243">
        <f t="shared" si="640"/>
        <v>16.600000000000001</v>
      </c>
      <c r="O482" s="1243">
        <f t="shared" si="640"/>
        <v>7.4</v>
      </c>
      <c r="P482" s="1243">
        <f t="shared" si="640"/>
        <v>7.4</v>
      </c>
      <c r="Q482" s="1244">
        <f t="shared" si="640"/>
        <v>0</v>
      </c>
    </row>
    <row r="483" spans="1:17" s="889" customFormat="1" ht="14">
      <c r="A483" s="2802"/>
      <c r="B483" s="2805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9.92</v>
      </c>
      <c r="H483" s="1248">
        <f t="shared" ref="H483:Q483" si="642">IF($F357&lt;=5000000,ROUND(18.03*(5000^-0.2027)*(H482^0.4017),2),ROUND(18.03*(($F357/1000)^-0.2027)*(H482^0.4017),2))</f>
        <v>8.41</v>
      </c>
      <c r="I483" s="1248">
        <f t="shared" si="642"/>
        <v>9.92</v>
      </c>
      <c r="J483" s="1248">
        <f t="shared" ref="J483:L483" si="643">IF($F357&lt;=5000000,ROUND(18.03*(5000^-0.2027)*(J482^0.4017),2),ROUND(18.03*(($F357/1000)^-0.2027)*(J482^0.4017),2))</f>
        <v>9.92</v>
      </c>
      <c r="K483" s="1248">
        <f t="shared" si="643"/>
        <v>9.92</v>
      </c>
      <c r="L483" s="1248">
        <f t="shared" si="643"/>
        <v>9.92</v>
      </c>
      <c r="M483" s="1248">
        <f t="shared" si="642"/>
        <v>8.41</v>
      </c>
      <c r="N483" s="1248">
        <f t="shared" si="642"/>
        <v>9.92</v>
      </c>
      <c r="O483" s="1248">
        <f t="shared" si="642"/>
        <v>7.17</v>
      </c>
      <c r="P483" s="1248">
        <f t="shared" si="642"/>
        <v>7.17</v>
      </c>
      <c r="Q483" s="1317">
        <f t="shared" si="642"/>
        <v>0</v>
      </c>
    </row>
    <row r="484" spans="1:17" s="889" customFormat="1" ht="14">
      <c r="A484" s="2803"/>
      <c r="B484" s="2806"/>
      <c r="C484" s="2808" t="s">
        <v>2690</v>
      </c>
      <c r="D484" s="1124"/>
      <c r="E484" s="1249"/>
      <c r="F484" s="1247" t="s">
        <v>2683</v>
      </c>
      <c r="G484" s="1250">
        <f>IF($F357&lt;=5000000,ROUND(6.07,2),0)</f>
        <v>6.07</v>
      </c>
      <c r="H484" s="1250">
        <f t="shared" ref="H484:Q484" si="644">IF($F357&lt;=5000000,ROUND(6.07,2),0)</f>
        <v>6.07</v>
      </c>
      <c r="I484" s="1250">
        <f t="shared" si="644"/>
        <v>6.07</v>
      </c>
      <c r="J484" s="1250">
        <f t="shared" ref="J484:L484" si="645">IF($F357&lt;=5000000,ROUND(6.07,2),0)</f>
        <v>6.07</v>
      </c>
      <c r="K484" s="1250">
        <f t="shared" si="645"/>
        <v>6.07</v>
      </c>
      <c r="L484" s="1250">
        <f t="shared" si="645"/>
        <v>6.07</v>
      </c>
      <c r="M484" s="1250">
        <f t="shared" si="644"/>
        <v>6.07</v>
      </c>
      <c r="N484" s="1250">
        <f t="shared" si="644"/>
        <v>6.07</v>
      </c>
      <c r="O484" s="1250">
        <f t="shared" si="644"/>
        <v>6.07</v>
      </c>
      <c r="P484" s="1250">
        <f t="shared" si="644"/>
        <v>6.07</v>
      </c>
      <c r="Q484" s="1318">
        <f t="shared" si="644"/>
        <v>6.07</v>
      </c>
    </row>
    <row r="485" spans="1:17" s="889" customFormat="1" ht="13.5" customHeight="1">
      <c r="A485" s="2803"/>
      <c r="B485" s="2806"/>
      <c r="C485" s="2809"/>
      <c r="D485" s="1251"/>
      <c r="E485" s="1252"/>
      <c r="F485" s="1247" t="s">
        <v>2684</v>
      </c>
      <c r="G485" s="1250">
        <f>IF($F357&lt;=5000000,ROUND(3.59,2),0)</f>
        <v>3.59</v>
      </c>
      <c r="H485" s="1250">
        <f t="shared" ref="H485:Q485" si="646">IF($F357&lt;=5000000,ROUND(3.59,2),0)</f>
        <v>3.59</v>
      </c>
      <c r="I485" s="1250">
        <f t="shared" si="646"/>
        <v>3.59</v>
      </c>
      <c r="J485" s="1250">
        <f t="shared" ref="J485:L485" si="647">IF($F357&lt;=5000000,ROUND(3.59,2),0)</f>
        <v>3.59</v>
      </c>
      <c r="K485" s="1250">
        <f t="shared" si="647"/>
        <v>3.59</v>
      </c>
      <c r="L485" s="1250">
        <f t="shared" si="647"/>
        <v>3.59</v>
      </c>
      <c r="M485" s="1250">
        <f t="shared" si="646"/>
        <v>3.59</v>
      </c>
      <c r="N485" s="1250">
        <f t="shared" si="646"/>
        <v>3.59</v>
      </c>
      <c r="O485" s="1250">
        <f t="shared" si="646"/>
        <v>3.59</v>
      </c>
      <c r="P485" s="1250">
        <f t="shared" si="646"/>
        <v>3.59</v>
      </c>
      <c r="Q485" s="1318">
        <f t="shared" si="646"/>
        <v>3.59</v>
      </c>
    </row>
    <row r="486" spans="1:17" s="889" customFormat="1" ht="14">
      <c r="A486" s="2803"/>
      <c r="B486" s="2806"/>
      <c r="C486" s="2808" t="s">
        <v>2691</v>
      </c>
      <c r="D486" s="1124"/>
      <c r="E486" s="1249"/>
      <c r="F486" s="1247" t="s">
        <v>2683</v>
      </c>
      <c r="G486" s="1253">
        <f>IF($F357&gt;5000000,ROUND(11.74*($F357/1000)^-0.0774,2),0)</f>
        <v>0</v>
      </c>
      <c r="H486" s="1253">
        <f t="shared" ref="H486:Q486" si="648">IF($F357&gt;5000000,ROUND(11.74*($F357/1000)^-0.0774,2),0)</f>
        <v>0</v>
      </c>
      <c r="I486" s="1253">
        <f t="shared" si="648"/>
        <v>0</v>
      </c>
      <c r="J486" s="1253">
        <f t="shared" ref="J486:L486" si="649">IF($F357&gt;5000000,ROUND(11.74*($F357/1000)^-0.0774,2),0)</f>
        <v>0</v>
      </c>
      <c r="K486" s="1253">
        <f t="shared" si="649"/>
        <v>0</v>
      </c>
      <c r="L486" s="1253">
        <f t="shared" si="649"/>
        <v>0</v>
      </c>
      <c r="M486" s="1253">
        <f t="shared" si="648"/>
        <v>0</v>
      </c>
      <c r="N486" s="1253">
        <f t="shared" si="648"/>
        <v>0</v>
      </c>
      <c r="O486" s="1253">
        <f t="shared" si="648"/>
        <v>0</v>
      </c>
      <c r="P486" s="1253">
        <f t="shared" si="648"/>
        <v>0</v>
      </c>
      <c r="Q486" s="1319">
        <f t="shared" si="648"/>
        <v>0</v>
      </c>
    </row>
    <row r="487" spans="1:17" s="889" customFormat="1" ht="13.5" customHeight="1">
      <c r="A487" s="2804"/>
      <c r="B487" s="2807"/>
      <c r="C487" s="2809"/>
      <c r="D487" s="1251"/>
      <c r="E487" s="1252"/>
      <c r="F487" s="1247" t="s">
        <v>2684</v>
      </c>
      <c r="G487" s="1253">
        <f>IF($F357&gt;5000000,ROUND(6.94*($F357/1000)^-0.0774,2),0)</f>
        <v>0</v>
      </c>
      <c r="H487" s="1253">
        <f t="shared" ref="H487:Q487" si="650">IF($F357&gt;5000000,ROUND(6.94*($F357/1000)^-0.0774,2),0)</f>
        <v>0</v>
      </c>
      <c r="I487" s="1253">
        <f t="shared" si="650"/>
        <v>0</v>
      </c>
      <c r="J487" s="1253">
        <f t="shared" ref="J487:L487" si="651">IF($F357&gt;5000000,ROUND(6.94*($F357/1000)^-0.0774,2),0)</f>
        <v>0</v>
      </c>
      <c r="K487" s="1253">
        <f t="shared" si="651"/>
        <v>0</v>
      </c>
      <c r="L487" s="1253">
        <f t="shared" si="651"/>
        <v>0</v>
      </c>
      <c r="M487" s="1253">
        <f t="shared" si="650"/>
        <v>0</v>
      </c>
      <c r="N487" s="1253">
        <f t="shared" si="650"/>
        <v>0</v>
      </c>
      <c r="O487" s="1253">
        <f t="shared" si="650"/>
        <v>0</v>
      </c>
      <c r="P487" s="1253">
        <f t="shared" si="650"/>
        <v>0</v>
      </c>
      <c r="Q487" s="1319">
        <f t="shared" si="650"/>
        <v>0</v>
      </c>
    </row>
    <row r="488" spans="1:17" s="889" customFormat="1" ht="13.5" customHeight="1">
      <c r="A488" s="2796" t="s">
        <v>2686</v>
      </c>
      <c r="B488" s="2797"/>
      <c r="C488" s="2797"/>
      <c r="D488" s="2797"/>
      <c r="E488" s="2797"/>
      <c r="F488" s="2798"/>
      <c r="G488" s="1256">
        <f>IF($F357&lt;=5000000,IF(G$483&gt;G$484,G$484,IF(G$483&lt;G$485,G$485,G$483)),IF(G$483&gt;G$486,G$486,IF(G$483&lt;G$487,G$487,G$483)))</f>
        <v>6.07</v>
      </c>
      <c r="H488" s="1256">
        <f t="shared" ref="H488:Q488" si="652">IF($F357&lt;=5000000,IF(H$483&gt;H$484,H$484,IF(H$483&lt;H$485,H$485,H$483)),IF(H$483&gt;H$486,H$486,IF(H$483&lt;H$487,H$487,H$483)))</f>
        <v>6.07</v>
      </c>
      <c r="I488" s="1256">
        <f t="shared" si="652"/>
        <v>6.07</v>
      </c>
      <c r="J488" s="1256">
        <f t="shared" ref="J488:L488" si="653">IF($F357&lt;=5000000,IF(J$483&gt;J$484,J$484,IF(J$483&lt;J$485,J$485,J$483)),IF(J$483&gt;J$486,J$486,IF(J$483&lt;J$487,J$487,J$483)))</f>
        <v>6.07</v>
      </c>
      <c r="K488" s="1256">
        <f t="shared" si="653"/>
        <v>6.07</v>
      </c>
      <c r="L488" s="1256">
        <f t="shared" si="653"/>
        <v>6.07</v>
      </c>
      <c r="M488" s="1256">
        <f t="shared" si="652"/>
        <v>6.07</v>
      </c>
      <c r="N488" s="1256">
        <f t="shared" si="652"/>
        <v>6.07</v>
      </c>
      <c r="O488" s="1256">
        <f t="shared" si="652"/>
        <v>6.07</v>
      </c>
      <c r="P488" s="1256">
        <f t="shared" si="652"/>
        <v>6.07</v>
      </c>
      <c r="Q488" s="1320">
        <f t="shared" si="652"/>
        <v>3.59</v>
      </c>
    </row>
    <row r="489" spans="1:17" s="889" customFormat="1" ht="15" thickBot="1">
      <c r="A489" s="2799" t="s">
        <v>2687</v>
      </c>
      <c r="B489" s="2800"/>
      <c r="C489" s="2800"/>
      <c r="D489" s="2800"/>
      <c r="E489" s="2800"/>
      <c r="F489" s="2801"/>
      <c r="G489" s="1259">
        <f>ROUND(G488*IF(AND(G305="駅施設",G306="無し"),0.7,IF(AND(G305="駅施設",G306="有り"),0.7,IF(AND(G305="地上建物",G306="無し"),0.9,IF(AND(G305="地上建物",G306="有り"),1,0)))),2)</f>
        <v>4.25</v>
      </c>
      <c r="H489" s="1259">
        <f t="shared" ref="H489:Q489" si="654">ROUND(H488*IF(AND(H305="駅施設",H306="無し"),0.7,IF(AND(H305="駅施設",H306="有り"),0.7,IF(AND(H305="地上建物",H306="無し"),0.9,IF(AND(H305="地上建物",H306="有り"),1,0)))),2)</f>
        <v>4.25</v>
      </c>
      <c r="I489" s="1259">
        <f t="shared" si="654"/>
        <v>4.25</v>
      </c>
      <c r="J489" s="1259">
        <f t="shared" ref="J489:L489" si="655">ROUND(J488*IF(AND(J305="駅施設",J306="無し"),0.7,IF(AND(J305="駅施設",J306="有り"),0.7,IF(AND(J305="地上建物",J306="無し"),0.9,IF(AND(J305="地上建物",J306="有り"),1,0)))),2)</f>
        <v>4.25</v>
      </c>
      <c r="K489" s="1259">
        <f t="shared" si="655"/>
        <v>4.25</v>
      </c>
      <c r="L489" s="1259">
        <f t="shared" si="655"/>
        <v>4.25</v>
      </c>
      <c r="M489" s="1259">
        <f t="shared" si="654"/>
        <v>4.25</v>
      </c>
      <c r="N489" s="1259">
        <f t="shared" si="654"/>
        <v>4.25</v>
      </c>
      <c r="O489" s="1259">
        <f t="shared" si="654"/>
        <v>4.25</v>
      </c>
      <c r="P489" s="1259">
        <f t="shared" si="654"/>
        <v>4.25</v>
      </c>
      <c r="Q489" s="1259">
        <f t="shared" si="654"/>
        <v>2.5099999999999998</v>
      </c>
    </row>
    <row r="490" spans="1:17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  <c r="O490" s="1237"/>
      <c r="P490" s="1237"/>
      <c r="Q490" s="1237"/>
    </row>
    <row r="491" spans="1:17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Q491" si="656">+G499</f>
        <v>16.600000000000001</v>
      </c>
      <c r="H491" s="1243">
        <f t="shared" si="656"/>
        <v>11</v>
      </c>
      <c r="I491" s="1243">
        <f t="shared" si="656"/>
        <v>16.600000000000001</v>
      </c>
      <c r="J491" s="1243">
        <f t="shared" ref="J491:L491" si="657">+J499</f>
        <v>16.600000000000001</v>
      </c>
      <c r="K491" s="1243">
        <f t="shared" si="657"/>
        <v>16.600000000000001</v>
      </c>
      <c r="L491" s="1243">
        <f t="shared" si="657"/>
        <v>16.600000000000001</v>
      </c>
      <c r="M491" s="1243">
        <f t="shared" si="656"/>
        <v>11</v>
      </c>
      <c r="N491" s="1243">
        <f t="shared" si="656"/>
        <v>16.600000000000001</v>
      </c>
      <c r="O491" s="1243">
        <f t="shared" si="656"/>
        <v>7.4</v>
      </c>
      <c r="P491" s="1243">
        <f t="shared" si="656"/>
        <v>7.4</v>
      </c>
      <c r="Q491" s="1244">
        <f t="shared" si="656"/>
        <v>0</v>
      </c>
    </row>
    <row r="492" spans="1:17" s="889" customFormat="1" ht="14">
      <c r="A492" s="2802"/>
      <c r="B492" s="2805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34.340000000000003</v>
      </c>
      <c r="H492" s="1248">
        <f t="shared" ref="H492:Q492" si="658">IF($F396&lt;=10000000,ROUND(151.08*((10000)^-0.3396)*(H491^0.586),2),ROUND(151.08*(($F396/1000)^-0.3396)*(H491^0.586),2))</f>
        <v>26.98</v>
      </c>
      <c r="I492" s="1248">
        <f t="shared" si="658"/>
        <v>34.340000000000003</v>
      </c>
      <c r="J492" s="1248">
        <f t="shared" ref="J492:L492" si="659">IF($F396&lt;=10000000,ROUND(151.08*((10000)^-0.3396)*(J491^0.586),2),ROUND(151.08*(($F396/1000)^-0.3396)*(J491^0.586),2))</f>
        <v>34.340000000000003</v>
      </c>
      <c r="K492" s="1248">
        <f t="shared" si="659"/>
        <v>34.340000000000003</v>
      </c>
      <c r="L492" s="1248">
        <f t="shared" si="659"/>
        <v>34.340000000000003</v>
      </c>
      <c r="M492" s="1248">
        <f t="shared" si="658"/>
        <v>26.98</v>
      </c>
      <c r="N492" s="1248">
        <f t="shared" si="658"/>
        <v>34.340000000000003</v>
      </c>
      <c r="O492" s="1248">
        <f t="shared" si="658"/>
        <v>21.39</v>
      </c>
      <c r="P492" s="1248">
        <f t="shared" si="658"/>
        <v>21.39</v>
      </c>
      <c r="Q492" s="1317">
        <f t="shared" si="658"/>
        <v>0</v>
      </c>
    </row>
    <row r="493" spans="1:17" s="889" customFormat="1" ht="14">
      <c r="A493" s="2803"/>
      <c r="B493" s="2806"/>
      <c r="C493" s="2808" t="s">
        <v>2695</v>
      </c>
      <c r="D493" s="1124"/>
      <c r="E493" s="1249"/>
      <c r="F493" s="1247" t="s">
        <v>2683</v>
      </c>
      <c r="G493" s="1250">
        <f>IF($F396&lt;=10000000,ROUND(20.13,2),0)</f>
        <v>20.13</v>
      </c>
      <c r="H493" s="1250">
        <f t="shared" ref="H493:Q493" si="660">IF($F396&lt;=10000000,ROUND(20.13,2),0)</f>
        <v>20.13</v>
      </c>
      <c r="I493" s="1250">
        <f t="shared" si="660"/>
        <v>20.13</v>
      </c>
      <c r="J493" s="1250">
        <f t="shared" ref="J493:L493" si="661">IF($F396&lt;=10000000,ROUND(20.13,2),0)</f>
        <v>20.13</v>
      </c>
      <c r="K493" s="1250">
        <f t="shared" si="661"/>
        <v>20.13</v>
      </c>
      <c r="L493" s="1250">
        <f t="shared" si="661"/>
        <v>20.13</v>
      </c>
      <c r="M493" s="1250">
        <f t="shared" si="660"/>
        <v>20.13</v>
      </c>
      <c r="N493" s="1250">
        <f t="shared" si="660"/>
        <v>20.13</v>
      </c>
      <c r="O493" s="1250">
        <f t="shared" si="660"/>
        <v>20.13</v>
      </c>
      <c r="P493" s="1250">
        <f t="shared" si="660"/>
        <v>20.13</v>
      </c>
      <c r="Q493" s="1318">
        <f t="shared" si="660"/>
        <v>20.13</v>
      </c>
    </row>
    <row r="494" spans="1:17" s="889" customFormat="1" ht="13.5" customHeight="1">
      <c r="A494" s="2803"/>
      <c r="B494" s="2806"/>
      <c r="C494" s="2809"/>
      <c r="D494" s="1251"/>
      <c r="E494" s="1252"/>
      <c r="F494" s="1247" t="s">
        <v>2684</v>
      </c>
      <c r="G494" s="1250">
        <f>IF($F396&lt;=10000000,ROUND(10.01,2),0)</f>
        <v>10.01</v>
      </c>
      <c r="H494" s="1250">
        <f t="shared" ref="H494:Q494" si="662">IF($F396&lt;=10000000,ROUND(10.01,2),0)</f>
        <v>10.01</v>
      </c>
      <c r="I494" s="1250">
        <f t="shared" si="662"/>
        <v>10.01</v>
      </c>
      <c r="J494" s="1250">
        <f t="shared" ref="J494:L494" si="663">IF($F396&lt;=10000000,ROUND(10.01,2),0)</f>
        <v>10.01</v>
      </c>
      <c r="K494" s="1250">
        <f t="shared" si="663"/>
        <v>10.01</v>
      </c>
      <c r="L494" s="1250">
        <f t="shared" si="663"/>
        <v>10.01</v>
      </c>
      <c r="M494" s="1250">
        <f t="shared" si="662"/>
        <v>10.01</v>
      </c>
      <c r="N494" s="1250">
        <f t="shared" si="662"/>
        <v>10.01</v>
      </c>
      <c r="O494" s="1250">
        <f t="shared" si="662"/>
        <v>10.01</v>
      </c>
      <c r="P494" s="1250">
        <f t="shared" si="662"/>
        <v>10.01</v>
      </c>
      <c r="Q494" s="1318">
        <f t="shared" si="662"/>
        <v>10.01</v>
      </c>
    </row>
    <row r="495" spans="1:17" s="889" customFormat="1" ht="14">
      <c r="A495" s="2803"/>
      <c r="B495" s="2806"/>
      <c r="C495" s="2808" t="s">
        <v>2696</v>
      </c>
      <c r="D495" s="1124"/>
      <c r="E495" s="1249"/>
      <c r="F495" s="1247" t="s">
        <v>2683</v>
      </c>
      <c r="G495" s="1253">
        <f>IF($F396&gt;10000000,ROUND(75.97*($F396/1000)^-0.1442,2),0)</f>
        <v>0</v>
      </c>
      <c r="H495" s="1253">
        <f t="shared" ref="H495:Q495" si="664">IF($F396&gt;10000000,ROUND(75.97*($F396/1000)^-0.1442,2),0)</f>
        <v>0</v>
      </c>
      <c r="I495" s="1253">
        <f t="shared" si="664"/>
        <v>0</v>
      </c>
      <c r="J495" s="1253">
        <f t="shared" ref="J495:L495" si="665">IF($F396&gt;10000000,ROUND(75.97*($F396/1000)^-0.1442,2),0)</f>
        <v>0</v>
      </c>
      <c r="K495" s="1253">
        <f t="shared" si="665"/>
        <v>0</v>
      </c>
      <c r="L495" s="1253">
        <f t="shared" si="665"/>
        <v>0</v>
      </c>
      <c r="M495" s="1253">
        <f t="shared" si="664"/>
        <v>0</v>
      </c>
      <c r="N495" s="1253">
        <f t="shared" si="664"/>
        <v>0</v>
      </c>
      <c r="O495" s="1253">
        <f t="shared" si="664"/>
        <v>0</v>
      </c>
      <c r="P495" s="1253">
        <f t="shared" si="664"/>
        <v>0</v>
      </c>
      <c r="Q495" s="1319">
        <f t="shared" si="664"/>
        <v>0</v>
      </c>
    </row>
    <row r="496" spans="1:17" s="889" customFormat="1" ht="13.5" customHeight="1">
      <c r="A496" s="2804"/>
      <c r="B496" s="2807"/>
      <c r="C496" s="2809"/>
      <c r="D496" s="1251"/>
      <c r="E496" s="1252"/>
      <c r="F496" s="1247" t="s">
        <v>2684</v>
      </c>
      <c r="G496" s="1253">
        <f>IF($F396&gt;10000000,ROUND(37.76*($F396/1000)^-0.1442,2),0)</f>
        <v>0</v>
      </c>
      <c r="H496" s="1253">
        <f t="shared" ref="H496:Q496" si="666">IF($F396&gt;10000000,ROUND(37.76*($F396/1000)^-0.1442,2),0)</f>
        <v>0</v>
      </c>
      <c r="I496" s="1253">
        <f t="shared" si="666"/>
        <v>0</v>
      </c>
      <c r="J496" s="1253">
        <f t="shared" ref="J496:L496" si="667">IF($F396&gt;10000000,ROUND(37.76*($F396/1000)^-0.1442,2),0)</f>
        <v>0</v>
      </c>
      <c r="K496" s="1253">
        <f t="shared" si="667"/>
        <v>0</v>
      </c>
      <c r="L496" s="1253">
        <f t="shared" si="667"/>
        <v>0</v>
      </c>
      <c r="M496" s="1253">
        <f t="shared" si="666"/>
        <v>0</v>
      </c>
      <c r="N496" s="1253">
        <f t="shared" si="666"/>
        <v>0</v>
      </c>
      <c r="O496" s="1253">
        <f t="shared" si="666"/>
        <v>0</v>
      </c>
      <c r="P496" s="1253">
        <f t="shared" si="666"/>
        <v>0</v>
      </c>
      <c r="Q496" s="1319">
        <f t="shared" si="666"/>
        <v>0</v>
      </c>
    </row>
    <row r="497" spans="1:17" s="889" customFormat="1" ht="15" thickBot="1">
      <c r="A497" s="2811" t="s">
        <v>2697</v>
      </c>
      <c r="B497" s="2812"/>
      <c r="C497" s="2812"/>
      <c r="D497" s="2812"/>
      <c r="E497" s="1257"/>
      <c r="F497" s="1258"/>
      <c r="G497" s="1259">
        <f>IF($F396&lt;=10000000,IF(G$492&gt;G$493,G$493,IF(G$492&lt;G$494,G$494,G$492)),IF(G$492&gt;G$495,G$495,IF(G$492&lt;G$496,G$496,G$492)))</f>
        <v>20.13</v>
      </c>
      <c r="H497" s="1259">
        <f t="shared" ref="H497:Q497" si="668">IF($F396&lt;=10000000,IF(H$492&gt;H$493,H$493,IF(H$492&lt;H$494,H$494,H$492)),IF(H$492&gt;H$495,H$495,IF(H$492&lt;H$496,H$496,H$492)))</f>
        <v>20.13</v>
      </c>
      <c r="I497" s="1259">
        <f t="shared" si="668"/>
        <v>20.13</v>
      </c>
      <c r="J497" s="1259">
        <f t="shared" ref="J497:L497" si="669">IF($F396&lt;=10000000,IF(J$492&gt;J$493,J$493,IF(J$492&lt;J$494,J$494,J$492)),IF(J$492&gt;J$495,J$495,IF(J$492&lt;J$496,J$496,J$492)))</f>
        <v>20.13</v>
      </c>
      <c r="K497" s="1259">
        <f t="shared" si="669"/>
        <v>20.13</v>
      </c>
      <c r="L497" s="1259">
        <f t="shared" si="669"/>
        <v>20.13</v>
      </c>
      <c r="M497" s="1259">
        <f t="shared" si="668"/>
        <v>20.13</v>
      </c>
      <c r="N497" s="1259">
        <f t="shared" si="668"/>
        <v>20.13</v>
      </c>
      <c r="O497" s="1259">
        <f t="shared" si="668"/>
        <v>20.13</v>
      </c>
      <c r="P497" s="1259">
        <f t="shared" si="668"/>
        <v>20.13</v>
      </c>
      <c r="Q497" s="1321">
        <f t="shared" si="668"/>
        <v>10.01</v>
      </c>
    </row>
    <row r="498" spans="1:17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  <c r="O498" s="1255"/>
      <c r="P498" s="1255"/>
      <c r="Q498" s="1255"/>
    </row>
    <row r="499" spans="1:17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Q499" si="670">+G300</f>
        <v>16.600000000000001</v>
      </c>
      <c r="H499" s="1243">
        <f t="shared" si="670"/>
        <v>11</v>
      </c>
      <c r="I499" s="1243">
        <f t="shared" si="670"/>
        <v>16.600000000000001</v>
      </c>
      <c r="J499" s="1243">
        <f t="shared" ref="J499:L499" si="671">+J300</f>
        <v>16.600000000000001</v>
      </c>
      <c r="K499" s="1243">
        <f t="shared" si="671"/>
        <v>16.600000000000001</v>
      </c>
      <c r="L499" s="1243">
        <f t="shared" si="671"/>
        <v>16.600000000000001</v>
      </c>
      <c r="M499" s="1243">
        <f t="shared" si="670"/>
        <v>11</v>
      </c>
      <c r="N499" s="1243">
        <f t="shared" si="670"/>
        <v>16.600000000000001</v>
      </c>
      <c r="O499" s="1243">
        <f t="shared" si="670"/>
        <v>7.4</v>
      </c>
      <c r="P499" s="1243">
        <f t="shared" si="670"/>
        <v>7.4</v>
      </c>
      <c r="Q499" s="1244">
        <f t="shared" si="670"/>
        <v>0</v>
      </c>
    </row>
    <row r="500" spans="1:17" s="889" customFormat="1" ht="14">
      <c r="A500" s="2802"/>
      <c r="B500" s="2805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55.49</v>
      </c>
      <c r="H500" s="1248">
        <f t="shared" ref="H500:Q500" si="672">IF($F396&lt;=5000000,ROUND(356.2*((5000)^-0.4085)*(H499^0.5766),2),ROUND(356.2*(($F396/1000)^-0.4085)*(H499^0.5766),2))</f>
        <v>43.77</v>
      </c>
      <c r="I500" s="1248">
        <f t="shared" si="672"/>
        <v>55.49</v>
      </c>
      <c r="J500" s="1248">
        <f t="shared" ref="J500:L500" si="673">IF($F396&lt;=5000000,ROUND(356.2*((5000)^-0.4085)*(J499^0.5766),2),ROUND(356.2*(($F396/1000)^-0.4085)*(J499^0.5766),2))</f>
        <v>55.49</v>
      </c>
      <c r="K500" s="1248">
        <f t="shared" si="673"/>
        <v>55.49</v>
      </c>
      <c r="L500" s="1248">
        <f t="shared" si="673"/>
        <v>55.49</v>
      </c>
      <c r="M500" s="1248">
        <f t="shared" si="672"/>
        <v>43.77</v>
      </c>
      <c r="N500" s="1248">
        <f t="shared" si="672"/>
        <v>55.49</v>
      </c>
      <c r="O500" s="1248">
        <f t="shared" si="672"/>
        <v>34.82</v>
      </c>
      <c r="P500" s="1248">
        <f t="shared" si="672"/>
        <v>34.82</v>
      </c>
      <c r="Q500" s="1317">
        <f t="shared" si="672"/>
        <v>0</v>
      </c>
    </row>
    <row r="501" spans="1:17" s="889" customFormat="1" ht="14">
      <c r="A501" s="2803"/>
      <c r="B501" s="2806"/>
      <c r="C501" s="2808" t="s">
        <v>2698</v>
      </c>
      <c r="D501" s="1124"/>
      <c r="E501" s="1249"/>
      <c r="F501" s="1247" t="s">
        <v>2683</v>
      </c>
      <c r="G501" s="1250">
        <f>IF($F396&lt;=5000000,ROUND(26.86,2),0)</f>
        <v>26.86</v>
      </c>
      <c r="H501" s="1250">
        <f t="shared" ref="H501:Q501" si="674">IF($F396&lt;=5000000,ROUND(26.86,2),0)</f>
        <v>26.86</v>
      </c>
      <c r="I501" s="1250">
        <f t="shared" si="674"/>
        <v>26.86</v>
      </c>
      <c r="J501" s="1250">
        <f t="shared" ref="J501:L501" si="675">IF($F396&lt;=5000000,ROUND(26.86,2),0)</f>
        <v>26.86</v>
      </c>
      <c r="K501" s="1250">
        <f t="shared" si="675"/>
        <v>26.86</v>
      </c>
      <c r="L501" s="1250">
        <f t="shared" si="675"/>
        <v>26.86</v>
      </c>
      <c r="M501" s="1250">
        <f t="shared" si="674"/>
        <v>26.86</v>
      </c>
      <c r="N501" s="1250">
        <f t="shared" si="674"/>
        <v>26.86</v>
      </c>
      <c r="O501" s="1250">
        <f t="shared" si="674"/>
        <v>26.86</v>
      </c>
      <c r="P501" s="1250">
        <f t="shared" si="674"/>
        <v>26.86</v>
      </c>
      <c r="Q501" s="1318">
        <f t="shared" si="674"/>
        <v>26.86</v>
      </c>
    </row>
    <row r="502" spans="1:17" s="889" customFormat="1" ht="13.5" customHeight="1">
      <c r="A502" s="2803"/>
      <c r="B502" s="2806"/>
      <c r="C502" s="2809"/>
      <c r="D502" s="1251"/>
      <c r="E502" s="1252"/>
      <c r="F502" s="1247" t="s">
        <v>2684</v>
      </c>
      <c r="G502" s="1250">
        <f>IF($F396&lt;=5000000,ROUND(12.7,2),0)</f>
        <v>12.7</v>
      </c>
      <c r="H502" s="1250">
        <f t="shared" ref="H502:Q502" si="676">IF($F396&lt;=5000000,ROUND(12.7,2),0)</f>
        <v>12.7</v>
      </c>
      <c r="I502" s="1250">
        <f t="shared" si="676"/>
        <v>12.7</v>
      </c>
      <c r="J502" s="1250">
        <f t="shared" ref="J502:L502" si="677">IF($F396&lt;=5000000,ROUND(12.7,2),0)</f>
        <v>12.7</v>
      </c>
      <c r="K502" s="1250">
        <f t="shared" si="677"/>
        <v>12.7</v>
      </c>
      <c r="L502" s="1250">
        <f t="shared" si="677"/>
        <v>12.7</v>
      </c>
      <c r="M502" s="1250">
        <f t="shared" si="676"/>
        <v>12.7</v>
      </c>
      <c r="N502" s="1250">
        <f t="shared" si="676"/>
        <v>12.7</v>
      </c>
      <c r="O502" s="1250">
        <f t="shared" si="676"/>
        <v>12.7</v>
      </c>
      <c r="P502" s="1250">
        <f t="shared" si="676"/>
        <v>12.7</v>
      </c>
      <c r="Q502" s="1318">
        <f t="shared" si="676"/>
        <v>12.7</v>
      </c>
    </row>
    <row r="503" spans="1:17" s="889" customFormat="1" ht="14">
      <c r="A503" s="2803"/>
      <c r="B503" s="2806"/>
      <c r="C503" s="2808" t="s">
        <v>2699</v>
      </c>
      <c r="D503" s="1124"/>
      <c r="E503" s="1249"/>
      <c r="F503" s="1247" t="s">
        <v>2683</v>
      </c>
      <c r="G503" s="1253">
        <f>IF($F396&gt;5000000,ROUND(184.58*($F396/1000)^-0.2263,2),0)</f>
        <v>0</v>
      </c>
      <c r="H503" s="1253">
        <f t="shared" ref="H503:Q503" si="678">IF($F396&gt;5000000,ROUND(184.58*($F396/1000)^-0.2263,2),0)</f>
        <v>0</v>
      </c>
      <c r="I503" s="1253">
        <f t="shared" si="678"/>
        <v>0</v>
      </c>
      <c r="J503" s="1253">
        <f t="shared" ref="J503:L503" si="679">IF($F396&gt;5000000,ROUND(184.58*($F396/1000)^-0.2263,2),0)</f>
        <v>0</v>
      </c>
      <c r="K503" s="1253">
        <f t="shared" si="679"/>
        <v>0</v>
      </c>
      <c r="L503" s="1253">
        <f t="shared" si="679"/>
        <v>0</v>
      </c>
      <c r="M503" s="1253">
        <f t="shared" si="678"/>
        <v>0</v>
      </c>
      <c r="N503" s="1253">
        <f t="shared" si="678"/>
        <v>0</v>
      </c>
      <c r="O503" s="1253">
        <f t="shared" si="678"/>
        <v>0</v>
      </c>
      <c r="P503" s="1253">
        <f t="shared" si="678"/>
        <v>0</v>
      </c>
      <c r="Q503" s="1319">
        <f t="shared" si="678"/>
        <v>0</v>
      </c>
    </row>
    <row r="504" spans="1:17" s="889" customFormat="1" ht="13.5" customHeight="1">
      <c r="A504" s="2804"/>
      <c r="B504" s="2807"/>
      <c r="C504" s="2809"/>
      <c r="D504" s="1251"/>
      <c r="E504" s="1252"/>
      <c r="F504" s="1247" t="s">
        <v>2684</v>
      </c>
      <c r="G504" s="1253">
        <f>IF($F396&gt;5000000,ROUND(87.29*($F396/1000)^-0.2263,2),0)</f>
        <v>0</v>
      </c>
      <c r="H504" s="1253">
        <f t="shared" ref="H504:Q504" si="680">IF($F396&gt;5000000,ROUND(87.29*($F396/1000)^-0.2263,2),0)</f>
        <v>0</v>
      </c>
      <c r="I504" s="1253">
        <f t="shared" si="680"/>
        <v>0</v>
      </c>
      <c r="J504" s="1253">
        <f t="shared" ref="J504:L504" si="681">IF($F396&gt;5000000,ROUND(87.29*($F396/1000)^-0.2263,2),0)</f>
        <v>0</v>
      </c>
      <c r="K504" s="1253">
        <f t="shared" si="681"/>
        <v>0</v>
      </c>
      <c r="L504" s="1253">
        <f t="shared" si="681"/>
        <v>0</v>
      </c>
      <c r="M504" s="1253">
        <f t="shared" si="680"/>
        <v>0</v>
      </c>
      <c r="N504" s="1253">
        <f t="shared" si="680"/>
        <v>0</v>
      </c>
      <c r="O504" s="1253">
        <f t="shared" si="680"/>
        <v>0</v>
      </c>
      <c r="P504" s="1253">
        <f t="shared" si="680"/>
        <v>0</v>
      </c>
      <c r="Q504" s="1319">
        <f t="shared" si="680"/>
        <v>0</v>
      </c>
    </row>
    <row r="505" spans="1:17" s="889" customFormat="1" ht="15" thickBot="1">
      <c r="A505" s="2811" t="s">
        <v>2697</v>
      </c>
      <c r="B505" s="2812"/>
      <c r="C505" s="2812"/>
      <c r="D505" s="2812"/>
      <c r="E505" s="1260"/>
      <c r="F505" s="1258"/>
      <c r="G505" s="1261">
        <f>IF($F396&lt;=5000000,IF(G$500&gt;G$501,G$501,IF(G$500&lt;G$502,G$502,G$500)),IF(G$500&gt;G$503,G$503,IF(G$500&lt;G$504,G$504,G$500)))</f>
        <v>26.86</v>
      </c>
      <c r="H505" s="1261">
        <f t="shared" ref="H505:Q505" si="682">IF($F396&lt;=5000000,IF(H$500&gt;H$501,H$501,IF(H$500&lt;H$502,H$502,H$500)),IF(H$500&gt;H$503,H$503,IF(H$500&lt;H$504,H$504,H$500)))</f>
        <v>26.86</v>
      </c>
      <c r="I505" s="1261">
        <f t="shared" si="682"/>
        <v>26.86</v>
      </c>
      <c r="J505" s="1261">
        <f t="shared" ref="J505:L505" si="683">IF($F396&lt;=5000000,IF(J$500&gt;J$501,J$501,IF(J$500&lt;J$502,J$502,J$500)),IF(J$500&gt;J$503,J$503,IF(J$500&lt;J$504,J$504,J$500)))</f>
        <v>26.86</v>
      </c>
      <c r="K505" s="1261">
        <f t="shared" si="683"/>
        <v>26.86</v>
      </c>
      <c r="L505" s="1261">
        <f t="shared" si="683"/>
        <v>26.86</v>
      </c>
      <c r="M505" s="1261">
        <f t="shared" si="682"/>
        <v>26.86</v>
      </c>
      <c r="N505" s="1261">
        <f t="shared" si="682"/>
        <v>26.86</v>
      </c>
      <c r="O505" s="1261">
        <f t="shared" si="682"/>
        <v>26.86</v>
      </c>
      <c r="P505" s="1261">
        <f t="shared" si="682"/>
        <v>26.86</v>
      </c>
      <c r="Q505" s="1322">
        <f t="shared" si="682"/>
        <v>12.7</v>
      </c>
    </row>
    <row r="506" spans="1:17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  <c r="O506" s="1237"/>
      <c r="P506" s="1237"/>
      <c r="Q506" s="1237"/>
    </row>
    <row r="507" spans="1:17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  <c r="O507" s="1264"/>
      <c r="P507" s="1264"/>
      <c r="Q507" s="1264"/>
    </row>
    <row r="508" spans="1:17" s="889" customFormat="1" ht="14">
      <c r="A508" s="2802"/>
      <c r="B508" s="2805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11.02</v>
      </c>
      <c r="H508" s="1266"/>
      <c r="I508" s="1267"/>
      <c r="J508" s="1267"/>
      <c r="K508" s="1267"/>
      <c r="L508" s="1267"/>
      <c r="M508" s="1267"/>
      <c r="N508" s="1267"/>
      <c r="O508" s="1267"/>
      <c r="P508" s="1267"/>
      <c r="Q508" s="1267"/>
    </row>
    <row r="509" spans="1:17" s="889" customFormat="1" ht="13.5" customHeight="1">
      <c r="A509" s="2803"/>
      <c r="B509" s="2806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47"/>
      <c r="N509" s="1272"/>
      <c r="O509" s="1272"/>
      <c r="P509" s="1272"/>
      <c r="Q509" s="1272"/>
    </row>
    <row r="510" spans="1:17" s="889" customFormat="1" ht="14">
      <c r="A510" s="2804"/>
      <c r="B510" s="2807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  <c r="O510" s="1274"/>
      <c r="P510" s="1274"/>
      <c r="Q510" s="1274"/>
    </row>
    <row r="511" spans="1:17" s="889" customFormat="1" ht="15" thickBot="1">
      <c r="A511" s="2811" t="s">
        <v>2705</v>
      </c>
      <c r="B511" s="2812"/>
      <c r="C511" s="2812"/>
      <c r="D511" s="2812"/>
      <c r="E511" s="1260"/>
      <c r="F511" s="1258"/>
      <c r="G511" s="1275">
        <f>IF($F439&lt;=5000000,G509,IF($F439&gt;3000000000,G510,G508))</f>
        <v>11.02</v>
      </c>
      <c r="H511" s="1276"/>
      <c r="I511" s="1277"/>
      <c r="J511" s="1277"/>
      <c r="K511" s="1277"/>
      <c r="L511" s="1277"/>
      <c r="M511" s="1277"/>
      <c r="N511" s="1277"/>
      <c r="O511" s="1277"/>
      <c r="P511" s="1277"/>
      <c r="Q511" s="1277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N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F87 A88 F303 A304">
    <cfRule type="expression" dxfId="9" priority="2" stopIfTrue="1">
      <formula>AND($F$113&gt;5000000,OR($E$87="無し",$E$87="なし"))</formula>
    </cfRule>
  </conditionalFormatting>
  <conditionalFormatting sqref="A10">
    <cfRule type="expression" dxfId="8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JF305:JM305 TB305:TI305 ACX305:ADE305 AMT305:ANA305 AWP305:AWW305 BGL305:BGS305 BQH305:BQO305 CAD305:CAK305 CJZ305:CKG305 CTV305:CUC305 DDR305:DDY305 DNN305:DNU305 DXJ305:DXQ305 EHF305:EHM305 ERB305:ERI305 FAX305:FBE305 FKT305:FLA305 FUP305:FUW305 GEL305:GES305 GOH305:GOO305 GYD305:GYK305 HHZ305:HIG305 HRV305:HSC305 IBR305:IBY305 ILN305:ILU305 IVJ305:IVQ305 JFF305:JFM305 JPB305:JPI305 JYX305:JZE305 KIT305:KJA305 KSP305:KSW305 LCL305:LCS305 LMH305:LMO305 LWD305:LWK305 MFZ305:MGG305 MPV305:MQC305 MZR305:MZY305 NJN305:NJU305 NTJ305:NTQ305 ODF305:ODM305 ONB305:ONI305 OWX305:OXE305 PGT305:PHA305 PQP305:PQW305 QAL305:QAS305 QKH305:QKO305 QUD305:QUK305 RDZ305:REG305 RNV305:ROC305 RXR305:RXY305 SHN305:SHU305 SRJ305:SRQ305 TBF305:TBM305 TLB305:TLI305 TUX305:TVE305 UET305:UFA305 UOP305:UOW305 UYL305:UYS305 VIH305:VIO305 VSD305:VSK305 WBZ305:WCG305 WLV305:WMC305 WVR305:WVY305 JF65841:JM65841 TB65841:TI65841 ACX65841:ADE65841 AMT65841:ANA65841 AWP65841:AWW65841 BGL65841:BGS65841 BQH65841:BQO65841 CAD65841:CAK65841 CJZ65841:CKG65841 CTV65841:CUC65841 DDR65841:DDY65841 DNN65841:DNU65841 DXJ65841:DXQ65841 EHF65841:EHM65841 ERB65841:ERI65841 FAX65841:FBE65841 FKT65841:FLA65841 FUP65841:FUW65841 GEL65841:GES65841 GOH65841:GOO65841 GYD65841:GYK65841 HHZ65841:HIG65841 HRV65841:HSC65841 IBR65841:IBY65841 ILN65841:ILU65841 IVJ65841:IVQ65841 JFF65841:JFM65841 JPB65841:JPI65841 JYX65841:JZE65841 KIT65841:KJA65841 KSP65841:KSW65841 LCL65841:LCS65841 LMH65841:LMO65841 LWD65841:LWK65841 MFZ65841:MGG65841 MPV65841:MQC65841 MZR65841:MZY65841 NJN65841:NJU65841 NTJ65841:NTQ65841 ODF65841:ODM65841 ONB65841:ONI65841 OWX65841:OXE65841 PGT65841:PHA65841 PQP65841:PQW65841 QAL65841:QAS65841 QKH65841:QKO65841 QUD65841:QUK65841 RDZ65841:REG65841 RNV65841:ROC65841 RXR65841:RXY65841 SHN65841:SHU65841 SRJ65841:SRQ65841 TBF65841:TBM65841 TLB65841:TLI65841 TUX65841:TVE65841 UET65841:UFA65841 UOP65841:UOW65841 UYL65841:UYS65841 VIH65841:VIO65841 VSD65841:VSK65841 WBZ65841:WCG65841 WLV65841:WMC65841 WVR65841:WVY65841 JF131377:JM131377 TB131377:TI131377 ACX131377:ADE131377 AMT131377:ANA131377 AWP131377:AWW131377 BGL131377:BGS131377 BQH131377:BQO131377 CAD131377:CAK131377 CJZ131377:CKG131377 CTV131377:CUC131377 DDR131377:DDY131377 DNN131377:DNU131377 DXJ131377:DXQ131377 EHF131377:EHM131377 ERB131377:ERI131377 FAX131377:FBE131377 FKT131377:FLA131377 FUP131377:FUW131377 GEL131377:GES131377 GOH131377:GOO131377 GYD131377:GYK131377 HHZ131377:HIG131377 HRV131377:HSC131377 IBR131377:IBY131377 ILN131377:ILU131377 IVJ131377:IVQ131377 JFF131377:JFM131377 JPB131377:JPI131377 JYX131377:JZE131377 KIT131377:KJA131377 KSP131377:KSW131377 LCL131377:LCS131377 LMH131377:LMO131377 LWD131377:LWK131377 MFZ131377:MGG131377 MPV131377:MQC131377 MZR131377:MZY131377 NJN131377:NJU131377 NTJ131377:NTQ131377 ODF131377:ODM131377 ONB131377:ONI131377 OWX131377:OXE131377 PGT131377:PHA131377 PQP131377:PQW131377 QAL131377:QAS131377 QKH131377:QKO131377 QUD131377:QUK131377 RDZ131377:REG131377 RNV131377:ROC131377 RXR131377:RXY131377 SHN131377:SHU131377 SRJ131377:SRQ131377 TBF131377:TBM131377 TLB131377:TLI131377 TUX131377:TVE131377 UET131377:UFA131377 UOP131377:UOW131377 UYL131377:UYS131377 VIH131377:VIO131377 VSD131377:VSK131377 WBZ131377:WCG131377 WLV131377:WMC131377 WVR131377:WVY131377 JF196913:JM196913 TB196913:TI196913 ACX196913:ADE196913 AMT196913:ANA196913 AWP196913:AWW196913 BGL196913:BGS196913 BQH196913:BQO196913 CAD196913:CAK196913 CJZ196913:CKG196913 CTV196913:CUC196913 DDR196913:DDY196913 DNN196913:DNU196913 DXJ196913:DXQ196913 EHF196913:EHM196913 ERB196913:ERI196913 FAX196913:FBE196913 FKT196913:FLA196913 FUP196913:FUW196913 GEL196913:GES196913 GOH196913:GOO196913 GYD196913:GYK196913 HHZ196913:HIG196913 HRV196913:HSC196913 IBR196913:IBY196913 ILN196913:ILU196913 IVJ196913:IVQ196913 JFF196913:JFM196913 JPB196913:JPI196913 JYX196913:JZE196913 KIT196913:KJA196913 KSP196913:KSW196913 LCL196913:LCS196913 LMH196913:LMO196913 LWD196913:LWK196913 MFZ196913:MGG196913 MPV196913:MQC196913 MZR196913:MZY196913 NJN196913:NJU196913 NTJ196913:NTQ196913 ODF196913:ODM196913 ONB196913:ONI196913 OWX196913:OXE196913 PGT196913:PHA196913 PQP196913:PQW196913 QAL196913:QAS196913 QKH196913:QKO196913 QUD196913:QUK196913 RDZ196913:REG196913 RNV196913:ROC196913 RXR196913:RXY196913 SHN196913:SHU196913 SRJ196913:SRQ196913 TBF196913:TBM196913 TLB196913:TLI196913 TUX196913:TVE196913 UET196913:UFA196913 UOP196913:UOW196913 UYL196913:UYS196913 VIH196913:VIO196913 VSD196913:VSK196913 WBZ196913:WCG196913 WLV196913:WMC196913 WVR196913:WVY196913 JF262449:JM262449 TB262449:TI262449 ACX262449:ADE262449 AMT262449:ANA262449 AWP262449:AWW262449 BGL262449:BGS262449 BQH262449:BQO262449 CAD262449:CAK262449 CJZ262449:CKG262449 CTV262449:CUC262449 DDR262449:DDY262449 DNN262449:DNU262449 DXJ262449:DXQ262449 EHF262449:EHM262449 ERB262449:ERI262449 FAX262449:FBE262449 FKT262449:FLA262449 FUP262449:FUW262449 GEL262449:GES262449 GOH262449:GOO262449 GYD262449:GYK262449 HHZ262449:HIG262449 HRV262449:HSC262449 IBR262449:IBY262449 ILN262449:ILU262449 IVJ262449:IVQ262449 JFF262449:JFM262449 JPB262449:JPI262449 JYX262449:JZE262449 KIT262449:KJA262449 KSP262449:KSW262449 LCL262449:LCS262449 LMH262449:LMO262449 LWD262449:LWK262449 MFZ262449:MGG262449 MPV262449:MQC262449 MZR262449:MZY262449 NJN262449:NJU262449 NTJ262449:NTQ262449 ODF262449:ODM262449 ONB262449:ONI262449 OWX262449:OXE262449 PGT262449:PHA262449 PQP262449:PQW262449 QAL262449:QAS262449 QKH262449:QKO262449 QUD262449:QUK262449 RDZ262449:REG262449 RNV262449:ROC262449 RXR262449:RXY262449 SHN262449:SHU262449 SRJ262449:SRQ262449 TBF262449:TBM262449 TLB262449:TLI262449 TUX262449:TVE262449 UET262449:UFA262449 UOP262449:UOW262449 UYL262449:UYS262449 VIH262449:VIO262449 VSD262449:VSK262449 WBZ262449:WCG262449 WLV262449:WMC262449 WVR262449:WVY262449 JF327985:JM327985 TB327985:TI327985 ACX327985:ADE327985 AMT327985:ANA327985 AWP327985:AWW327985 BGL327985:BGS327985 BQH327985:BQO327985 CAD327985:CAK327985 CJZ327985:CKG327985 CTV327985:CUC327985 DDR327985:DDY327985 DNN327985:DNU327985 DXJ327985:DXQ327985 EHF327985:EHM327985 ERB327985:ERI327985 FAX327985:FBE327985 FKT327985:FLA327985 FUP327985:FUW327985 GEL327985:GES327985 GOH327985:GOO327985 GYD327985:GYK327985 HHZ327985:HIG327985 HRV327985:HSC327985 IBR327985:IBY327985 ILN327985:ILU327985 IVJ327985:IVQ327985 JFF327985:JFM327985 JPB327985:JPI327985 JYX327985:JZE327985 KIT327985:KJA327985 KSP327985:KSW327985 LCL327985:LCS327985 LMH327985:LMO327985 LWD327985:LWK327985 MFZ327985:MGG327985 MPV327985:MQC327985 MZR327985:MZY327985 NJN327985:NJU327985 NTJ327985:NTQ327985 ODF327985:ODM327985 ONB327985:ONI327985 OWX327985:OXE327985 PGT327985:PHA327985 PQP327985:PQW327985 QAL327985:QAS327985 QKH327985:QKO327985 QUD327985:QUK327985 RDZ327985:REG327985 RNV327985:ROC327985 RXR327985:RXY327985 SHN327985:SHU327985 SRJ327985:SRQ327985 TBF327985:TBM327985 TLB327985:TLI327985 TUX327985:TVE327985 UET327985:UFA327985 UOP327985:UOW327985 UYL327985:UYS327985 VIH327985:VIO327985 VSD327985:VSK327985 WBZ327985:WCG327985 WLV327985:WMC327985 WVR327985:WVY327985 JF393521:JM393521 TB393521:TI393521 ACX393521:ADE393521 AMT393521:ANA393521 AWP393521:AWW393521 BGL393521:BGS393521 BQH393521:BQO393521 CAD393521:CAK393521 CJZ393521:CKG393521 CTV393521:CUC393521 DDR393521:DDY393521 DNN393521:DNU393521 DXJ393521:DXQ393521 EHF393521:EHM393521 ERB393521:ERI393521 FAX393521:FBE393521 FKT393521:FLA393521 FUP393521:FUW393521 GEL393521:GES393521 GOH393521:GOO393521 GYD393521:GYK393521 HHZ393521:HIG393521 HRV393521:HSC393521 IBR393521:IBY393521 ILN393521:ILU393521 IVJ393521:IVQ393521 JFF393521:JFM393521 JPB393521:JPI393521 JYX393521:JZE393521 KIT393521:KJA393521 KSP393521:KSW393521 LCL393521:LCS393521 LMH393521:LMO393521 LWD393521:LWK393521 MFZ393521:MGG393521 MPV393521:MQC393521 MZR393521:MZY393521 NJN393521:NJU393521 NTJ393521:NTQ393521 ODF393521:ODM393521 ONB393521:ONI393521 OWX393521:OXE393521 PGT393521:PHA393521 PQP393521:PQW393521 QAL393521:QAS393521 QKH393521:QKO393521 QUD393521:QUK393521 RDZ393521:REG393521 RNV393521:ROC393521 RXR393521:RXY393521 SHN393521:SHU393521 SRJ393521:SRQ393521 TBF393521:TBM393521 TLB393521:TLI393521 TUX393521:TVE393521 UET393521:UFA393521 UOP393521:UOW393521 UYL393521:UYS393521 VIH393521:VIO393521 VSD393521:VSK393521 WBZ393521:WCG393521 WLV393521:WMC393521 WVR393521:WVY393521 JF459057:JM459057 TB459057:TI459057 ACX459057:ADE459057 AMT459057:ANA459057 AWP459057:AWW459057 BGL459057:BGS459057 BQH459057:BQO459057 CAD459057:CAK459057 CJZ459057:CKG459057 CTV459057:CUC459057 DDR459057:DDY459057 DNN459057:DNU459057 DXJ459057:DXQ459057 EHF459057:EHM459057 ERB459057:ERI459057 FAX459057:FBE459057 FKT459057:FLA459057 FUP459057:FUW459057 GEL459057:GES459057 GOH459057:GOO459057 GYD459057:GYK459057 HHZ459057:HIG459057 HRV459057:HSC459057 IBR459057:IBY459057 ILN459057:ILU459057 IVJ459057:IVQ459057 JFF459057:JFM459057 JPB459057:JPI459057 JYX459057:JZE459057 KIT459057:KJA459057 KSP459057:KSW459057 LCL459057:LCS459057 LMH459057:LMO459057 LWD459057:LWK459057 MFZ459057:MGG459057 MPV459057:MQC459057 MZR459057:MZY459057 NJN459057:NJU459057 NTJ459057:NTQ459057 ODF459057:ODM459057 ONB459057:ONI459057 OWX459057:OXE459057 PGT459057:PHA459057 PQP459057:PQW459057 QAL459057:QAS459057 QKH459057:QKO459057 QUD459057:QUK459057 RDZ459057:REG459057 RNV459057:ROC459057 RXR459057:RXY459057 SHN459057:SHU459057 SRJ459057:SRQ459057 TBF459057:TBM459057 TLB459057:TLI459057 TUX459057:TVE459057 UET459057:UFA459057 UOP459057:UOW459057 UYL459057:UYS459057 VIH459057:VIO459057 VSD459057:VSK459057 WBZ459057:WCG459057 WLV459057:WMC459057 WVR459057:WVY459057 JF524593:JM524593 TB524593:TI524593 ACX524593:ADE524593 AMT524593:ANA524593 AWP524593:AWW524593 BGL524593:BGS524593 BQH524593:BQO524593 CAD524593:CAK524593 CJZ524593:CKG524593 CTV524593:CUC524593 DDR524593:DDY524593 DNN524593:DNU524593 DXJ524593:DXQ524593 EHF524593:EHM524593 ERB524593:ERI524593 FAX524593:FBE524593 FKT524593:FLA524593 FUP524593:FUW524593 GEL524593:GES524593 GOH524593:GOO524593 GYD524593:GYK524593 HHZ524593:HIG524593 HRV524593:HSC524593 IBR524593:IBY524593 ILN524593:ILU524593 IVJ524593:IVQ524593 JFF524593:JFM524593 JPB524593:JPI524593 JYX524593:JZE524593 KIT524593:KJA524593 KSP524593:KSW524593 LCL524593:LCS524593 LMH524593:LMO524593 LWD524593:LWK524593 MFZ524593:MGG524593 MPV524593:MQC524593 MZR524593:MZY524593 NJN524593:NJU524593 NTJ524593:NTQ524593 ODF524593:ODM524593 ONB524593:ONI524593 OWX524593:OXE524593 PGT524593:PHA524593 PQP524593:PQW524593 QAL524593:QAS524593 QKH524593:QKO524593 QUD524593:QUK524593 RDZ524593:REG524593 RNV524593:ROC524593 RXR524593:RXY524593 SHN524593:SHU524593 SRJ524593:SRQ524593 TBF524593:TBM524593 TLB524593:TLI524593 TUX524593:TVE524593 UET524593:UFA524593 UOP524593:UOW524593 UYL524593:UYS524593 VIH524593:VIO524593 VSD524593:VSK524593 WBZ524593:WCG524593 WLV524593:WMC524593 WVR524593:WVY524593 JF590129:JM590129 TB590129:TI590129 ACX590129:ADE590129 AMT590129:ANA590129 AWP590129:AWW590129 BGL590129:BGS590129 BQH590129:BQO590129 CAD590129:CAK590129 CJZ590129:CKG590129 CTV590129:CUC590129 DDR590129:DDY590129 DNN590129:DNU590129 DXJ590129:DXQ590129 EHF590129:EHM590129 ERB590129:ERI590129 FAX590129:FBE590129 FKT590129:FLA590129 FUP590129:FUW590129 GEL590129:GES590129 GOH590129:GOO590129 GYD590129:GYK590129 HHZ590129:HIG590129 HRV590129:HSC590129 IBR590129:IBY590129 ILN590129:ILU590129 IVJ590129:IVQ590129 JFF590129:JFM590129 JPB590129:JPI590129 JYX590129:JZE590129 KIT590129:KJA590129 KSP590129:KSW590129 LCL590129:LCS590129 LMH590129:LMO590129 LWD590129:LWK590129 MFZ590129:MGG590129 MPV590129:MQC590129 MZR590129:MZY590129 NJN590129:NJU590129 NTJ590129:NTQ590129 ODF590129:ODM590129 ONB590129:ONI590129 OWX590129:OXE590129 PGT590129:PHA590129 PQP590129:PQW590129 QAL590129:QAS590129 QKH590129:QKO590129 QUD590129:QUK590129 RDZ590129:REG590129 RNV590129:ROC590129 RXR590129:RXY590129 SHN590129:SHU590129 SRJ590129:SRQ590129 TBF590129:TBM590129 TLB590129:TLI590129 TUX590129:TVE590129 UET590129:UFA590129 UOP590129:UOW590129 UYL590129:UYS590129 VIH590129:VIO590129 VSD590129:VSK590129 WBZ590129:WCG590129 WLV590129:WMC590129 WVR590129:WVY590129 JF655665:JM655665 TB655665:TI655665 ACX655665:ADE655665 AMT655665:ANA655665 AWP655665:AWW655665 BGL655665:BGS655665 BQH655665:BQO655665 CAD655665:CAK655665 CJZ655665:CKG655665 CTV655665:CUC655665 DDR655665:DDY655665 DNN655665:DNU655665 DXJ655665:DXQ655665 EHF655665:EHM655665 ERB655665:ERI655665 FAX655665:FBE655665 FKT655665:FLA655665 FUP655665:FUW655665 GEL655665:GES655665 GOH655665:GOO655665 GYD655665:GYK655665 HHZ655665:HIG655665 HRV655665:HSC655665 IBR655665:IBY655665 ILN655665:ILU655665 IVJ655665:IVQ655665 JFF655665:JFM655665 JPB655665:JPI655665 JYX655665:JZE655665 KIT655665:KJA655665 KSP655665:KSW655665 LCL655665:LCS655665 LMH655665:LMO655665 LWD655665:LWK655665 MFZ655665:MGG655665 MPV655665:MQC655665 MZR655665:MZY655665 NJN655665:NJU655665 NTJ655665:NTQ655665 ODF655665:ODM655665 ONB655665:ONI655665 OWX655665:OXE655665 PGT655665:PHA655665 PQP655665:PQW655665 QAL655665:QAS655665 QKH655665:QKO655665 QUD655665:QUK655665 RDZ655665:REG655665 RNV655665:ROC655665 RXR655665:RXY655665 SHN655665:SHU655665 SRJ655665:SRQ655665 TBF655665:TBM655665 TLB655665:TLI655665 TUX655665:TVE655665 UET655665:UFA655665 UOP655665:UOW655665 UYL655665:UYS655665 VIH655665:VIO655665 VSD655665:VSK655665 WBZ655665:WCG655665 WLV655665:WMC655665 WVR655665:WVY655665 JF721201:JM721201 TB721201:TI721201 ACX721201:ADE721201 AMT721201:ANA721201 AWP721201:AWW721201 BGL721201:BGS721201 BQH721201:BQO721201 CAD721201:CAK721201 CJZ721201:CKG721201 CTV721201:CUC721201 DDR721201:DDY721201 DNN721201:DNU721201 DXJ721201:DXQ721201 EHF721201:EHM721201 ERB721201:ERI721201 FAX721201:FBE721201 FKT721201:FLA721201 FUP721201:FUW721201 GEL721201:GES721201 GOH721201:GOO721201 GYD721201:GYK721201 HHZ721201:HIG721201 HRV721201:HSC721201 IBR721201:IBY721201 ILN721201:ILU721201 IVJ721201:IVQ721201 JFF721201:JFM721201 JPB721201:JPI721201 JYX721201:JZE721201 KIT721201:KJA721201 KSP721201:KSW721201 LCL721201:LCS721201 LMH721201:LMO721201 LWD721201:LWK721201 MFZ721201:MGG721201 MPV721201:MQC721201 MZR721201:MZY721201 NJN721201:NJU721201 NTJ721201:NTQ721201 ODF721201:ODM721201 ONB721201:ONI721201 OWX721201:OXE721201 PGT721201:PHA721201 PQP721201:PQW721201 QAL721201:QAS721201 QKH721201:QKO721201 QUD721201:QUK721201 RDZ721201:REG721201 RNV721201:ROC721201 RXR721201:RXY721201 SHN721201:SHU721201 SRJ721201:SRQ721201 TBF721201:TBM721201 TLB721201:TLI721201 TUX721201:TVE721201 UET721201:UFA721201 UOP721201:UOW721201 UYL721201:UYS721201 VIH721201:VIO721201 VSD721201:VSK721201 WBZ721201:WCG721201 WLV721201:WMC721201 WVR721201:WVY721201 JF786737:JM786737 TB786737:TI786737 ACX786737:ADE786737 AMT786737:ANA786737 AWP786737:AWW786737 BGL786737:BGS786737 BQH786737:BQO786737 CAD786737:CAK786737 CJZ786737:CKG786737 CTV786737:CUC786737 DDR786737:DDY786737 DNN786737:DNU786737 DXJ786737:DXQ786737 EHF786737:EHM786737 ERB786737:ERI786737 FAX786737:FBE786737 FKT786737:FLA786737 FUP786737:FUW786737 GEL786737:GES786737 GOH786737:GOO786737 GYD786737:GYK786737 HHZ786737:HIG786737 HRV786737:HSC786737 IBR786737:IBY786737 ILN786737:ILU786737 IVJ786737:IVQ786737 JFF786737:JFM786737 JPB786737:JPI786737 JYX786737:JZE786737 KIT786737:KJA786737 KSP786737:KSW786737 LCL786737:LCS786737 LMH786737:LMO786737 LWD786737:LWK786737 MFZ786737:MGG786737 MPV786737:MQC786737 MZR786737:MZY786737 NJN786737:NJU786737 NTJ786737:NTQ786737 ODF786737:ODM786737 ONB786737:ONI786737 OWX786737:OXE786737 PGT786737:PHA786737 PQP786737:PQW786737 QAL786737:QAS786737 QKH786737:QKO786737 QUD786737:QUK786737 RDZ786737:REG786737 RNV786737:ROC786737 RXR786737:RXY786737 SHN786737:SHU786737 SRJ786737:SRQ786737 TBF786737:TBM786737 TLB786737:TLI786737 TUX786737:TVE786737 UET786737:UFA786737 UOP786737:UOW786737 UYL786737:UYS786737 VIH786737:VIO786737 VSD786737:VSK786737 WBZ786737:WCG786737 WLV786737:WMC786737 WVR786737:WVY786737 JF852273:JM852273 TB852273:TI852273 ACX852273:ADE852273 AMT852273:ANA852273 AWP852273:AWW852273 BGL852273:BGS852273 BQH852273:BQO852273 CAD852273:CAK852273 CJZ852273:CKG852273 CTV852273:CUC852273 DDR852273:DDY852273 DNN852273:DNU852273 DXJ852273:DXQ852273 EHF852273:EHM852273 ERB852273:ERI852273 FAX852273:FBE852273 FKT852273:FLA852273 FUP852273:FUW852273 GEL852273:GES852273 GOH852273:GOO852273 GYD852273:GYK852273 HHZ852273:HIG852273 HRV852273:HSC852273 IBR852273:IBY852273 ILN852273:ILU852273 IVJ852273:IVQ852273 JFF852273:JFM852273 JPB852273:JPI852273 JYX852273:JZE852273 KIT852273:KJA852273 KSP852273:KSW852273 LCL852273:LCS852273 LMH852273:LMO852273 LWD852273:LWK852273 MFZ852273:MGG852273 MPV852273:MQC852273 MZR852273:MZY852273 NJN852273:NJU852273 NTJ852273:NTQ852273 ODF852273:ODM852273 ONB852273:ONI852273 OWX852273:OXE852273 PGT852273:PHA852273 PQP852273:PQW852273 QAL852273:QAS852273 QKH852273:QKO852273 QUD852273:QUK852273 RDZ852273:REG852273 RNV852273:ROC852273 RXR852273:RXY852273 SHN852273:SHU852273 SRJ852273:SRQ852273 TBF852273:TBM852273 TLB852273:TLI852273 TUX852273:TVE852273 UET852273:UFA852273 UOP852273:UOW852273 UYL852273:UYS852273 VIH852273:VIO852273 VSD852273:VSK852273 WBZ852273:WCG852273 WLV852273:WMC852273 WVR852273:WVY852273 JF917809:JM917809 TB917809:TI917809 ACX917809:ADE917809 AMT917809:ANA917809 AWP917809:AWW917809 BGL917809:BGS917809 BQH917809:BQO917809 CAD917809:CAK917809 CJZ917809:CKG917809 CTV917809:CUC917809 DDR917809:DDY917809 DNN917809:DNU917809 DXJ917809:DXQ917809 EHF917809:EHM917809 ERB917809:ERI917809 FAX917809:FBE917809 FKT917809:FLA917809 FUP917809:FUW917809 GEL917809:GES917809 GOH917809:GOO917809 GYD917809:GYK917809 HHZ917809:HIG917809 HRV917809:HSC917809 IBR917809:IBY917809 ILN917809:ILU917809 IVJ917809:IVQ917809 JFF917809:JFM917809 JPB917809:JPI917809 JYX917809:JZE917809 KIT917809:KJA917809 KSP917809:KSW917809 LCL917809:LCS917809 LMH917809:LMO917809 LWD917809:LWK917809 MFZ917809:MGG917809 MPV917809:MQC917809 MZR917809:MZY917809 NJN917809:NJU917809 NTJ917809:NTQ917809 ODF917809:ODM917809 ONB917809:ONI917809 OWX917809:OXE917809 PGT917809:PHA917809 PQP917809:PQW917809 QAL917809:QAS917809 QKH917809:QKO917809 QUD917809:QUK917809 RDZ917809:REG917809 RNV917809:ROC917809 RXR917809:RXY917809 SHN917809:SHU917809 SRJ917809:SRQ917809 TBF917809:TBM917809 TLB917809:TLI917809 TUX917809:TVE917809 UET917809:UFA917809 UOP917809:UOW917809 UYL917809:UYS917809 VIH917809:VIO917809 VSD917809:VSK917809 WBZ917809:WCG917809 WLV917809:WMC917809 WVR917809:WVY917809 JF983345:JM983345 TB983345:TI983345 ACX983345:ADE983345 AMT983345:ANA983345 AWP983345:AWW983345 BGL983345:BGS983345 BQH983345:BQO983345 CAD983345:CAK983345 CJZ983345:CKG983345 CTV983345:CUC983345 DDR983345:DDY983345 DNN983345:DNU983345 DXJ983345:DXQ983345 EHF983345:EHM983345 ERB983345:ERI983345 FAX983345:FBE983345 FKT983345:FLA983345 FUP983345:FUW983345 GEL983345:GES983345 GOH983345:GOO983345 GYD983345:GYK983345 HHZ983345:HIG983345 HRV983345:HSC983345 IBR983345:IBY983345 ILN983345:ILU983345 IVJ983345:IVQ983345 JFF983345:JFM983345 JPB983345:JPI983345 JYX983345:JZE983345 KIT983345:KJA983345 KSP983345:KSW983345 LCL983345:LCS983345 LMH983345:LMO983345 LWD983345:LWK983345 MFZ983345:MGG983345 MPV983345:MQC983345 MZR983345:MZY983345 NJN983345:NJU983345 NTJ983345:NTQ983345 ODF983345:ODM983345 ONB983345:ONI983345 OWX983345:OXE983345 PGT983345:PHA983345 PQP983345:PQW983345 QAL983345:QAS983345 QKH983345:QKO983345 QUD983345:QUK983345 RDZ983345:REG983345 RNV983345:ROC983345 RXR983345:RXY983345 SHN983345:SHU983345 SRJ983345:SRQ983345 TBF983345:TBM983345 TLB983345:TLI983345 TUX983345:TVE983345 UET983345:UFA983345 UOP983345:UOW983345 UYL983345:UYS983345 VIH983345:VIO983345 VSD983345:VSK983345 WBZ983345:WCG983345 WLV983345:WMC983345 WVR983345:WVY983345 JF89:JM89 TB89:TI89 ACX89:ADE89 AMT89:ANA89 AWP89:AWW89 BGL89:BGS89 BQH89:BQO89 CAD89:CAK89 CJZ89:CKG89 CTV89:CUC89 DDR89:DDY89 DNN89:DNU89 DXJ89:DXQ89 EHF89:EHM89 ERB89:ERI89 FAX89:FBE89 FKT89:FLA89 FUP89:FUW89 GEL89:GES89 GOH89:GOO89 GYD89:GYK89 HHZ89:HIG89 HRV89:HSC89 IBR89:IBY89 ILN89:ILU89 IVJ89:IVQ89 JFF89:JFM89 JPB89:JPI89 JYX89:JZE89 KIT89:KJA89 KSP89:KSW89 LCL89:LCS89 LMH89:LMO89 LWD89:LWK89 MFZ89:MGG89 MPV89:MQC89 MZR89:MZY89 NJN89:NJU89 NTJ89:NTQ89 ODF89:ODM89 ONB89:ONI89 OWX89:OXE89 PGT89:PHA89 PQP89:PQW89 QAL89:QAS89 QKH89:QKO89 QUD89:QUK89 RDZ89:REG89 RNV89:ROC89 RXR89:RXY89 SHN89:SHU89 SRJ89:SRQ89 TBF89:TBM89 TLB89:TLI89 TUX89:TVE89 UET89:UFA89 UOP89:UOW89 UYL89:UYS89 VIH89:VIO89 VSD89:VSK89 WBZ89:WCG89 WLV89:WMC89 WVR89:WVY89 JF65625:JM65625 TB65625:TI65625 ACX65625:ADE65625 AMT65625:ANA65625 AWP65625:AWW65625 BGL65625:BGS65625 BQH65625:BQO65625 CAD65625:CAK65625 CJZ65625:CKG65625 CTV65625:CUC65625 DDR65625:DDY65625 DNN65625:DNU65625 DXJ65625:DXQ65625 EHF65625:EHM65625 ERB65625:ERI65625 FAX65625:FBE65625 FKT65625:FLA65625 FUP65625:FUW65625 GEL65625:GES65625 GOH65625:GOO65625 GYD65625:GYK65625 HHZ65625:HIG65625 HRV65625:HSC65625 IBR65625:IBY65625 ILN65625:ILU65625 IVJ65625:IVQ65625 JFF65625:JFM65625 JPB65625:JPI65625 JYX65625:JZE65625 KIT65625:KJA65625 KSP65625:KSW65625 LCL65625:LCS65625 LMH65625:LMO65625 LWD65625:LWK65625 MFZ65625:MGG65625 MPV65625:MQC65625 MZR65625:MZY65625 NJN65625:NJU65625 NTJ65625:NTQ65625 ODF65625:ODM65625 ONB65625:ONI65625 OWX65625:OXE65625 PGT65625:PHA65625 PQP65625:PQW65625 QAL65625:QAS65625 QKH65625:QKO65625 QUD65625:QUK65625 RDZ65625:REG65625 RNV65625:ROC65625 RXR65625:RXY65625 SHN65625:SHU65625 SRJ65625:SRQ65625 TBF65625:TBM65625 TLB65625:TLI65625 TUX65625:TVE65625 UET65625:UFA65625 UOP65625:UOW65625 UYL65625:UYS65625 VIH65625:VIO65625 VSD65625:VSK65625 WBZ65625:WCG65625 WLV65625:WMC65625 WVR65625:WVY65625 JF131161:JM131161 TB131161:TI131161 ACX131161:ADE131161 AMT131161:ANA131161 AWP131161:AWW131161 BGL131161:BGS131161 BQH131161:BQO131161 CAD131161:CAK131161 CJZ131161:CKG131161 CTV131161:CUC131161 DDR131161:DDY131161 DNN131161:DNU131161 DXJ131161:DXQ131161 EHF131161:EHM131161 ERB131161:ERI131161 FAX131161:FBE131161 FKT131161:FLA131161 FUP131161:FUW131161 GEL131161:GES131161 GOH131161:GOO131161 GYD131161:GYK131161 HHZ131161:HIG131161 HRV131161:HSC131161 IBR131161:IBY131161 ILN131161:ILU131161 IVJ131161:IVQ131161 JFF131161:JFM131161 JPB131161:JPI131161 JYX131161:JZE131161 KIT131161:KJA131161 KSP131161:KSW131161 LCL131161:LCS131161 LMH131161:LMO131161 LWD131161:LWK131161 MFZ131161:MGG131161 MPV131161:MQC131161 MZR131161:MZY131161 NJN131161:NJU131161 NTJ131161:NTQ131161 ODF131161:ODM131161 ONB131161:ONI131161 OWX131161:OXE131161 PGT131161:PHA131161 PQP131161:PQW131161 QAL131161:QAS131161 QKH131161:QKO131161 QUD131161:QUK131161 RDZ131161:REG131161 RNV131161:ROC131161 RXR131161:RXY131161 SHN131161:SHU131161 SRJ131161:SRQ131161 TBF131161:TBM131161 TLB131161:TLI131161 TUX131161:TVE131161 UET131161:UFA131161 UOP131161:UOW131161 UYL131161:UYS131161 VIH131161:VIO131161 VSD131161:VSK131161 WBZ131161:WCG131161 WLV131161:WMC131161 WVR131161:WVY131161 JF196697:JM196697 TB196697:TI196697 ACX196697:ADE196697 AMT196697:ANA196697 AWP196697:AWW196697 BGL196697:BGS196697 BQH196697:BQO196697 CAD196697:CAK196697 CJZ196697:CKG196697 CTV196697:CUC196697 DDR196697:DDY196697 DNN196697:DNU196697 DXJ196697:DXQ196697 EHF196697:EHM196697 ERB196697:ERI196697 FAX196697:FBE196697 FKT196697:FLA196697 FUP196697:FUW196697 GEL196697:GES196697 GOH196697:GOO196697 GYD196697:GYK196697 HHZ196697:HIG196697 HRV196697:HSC196697 IBR196697:IBY196697 ILN196697:ILU196697 IVJ196697:IVQ196697 JFF196697:JFM196697 JPB196697:JPI196697 JYX196697:JZE196697 KIT196697:KJA196697 KSP196697:KSW196697 LCL196697:LCS196697 LMH196697:LMO196697 LWD196697:LWK196697 MFZ196697:MGG196697 MPV196697:MQC196697 MZR196697:MZY196697 NJN196697:NJU196697 NTJ196697:NTQ196697 ODF196697:ODM196697 ONB196697:ONI196697 OWX196697:OXE196697 PGT196697:PHA196697 PQP196697:PQW196697 QAL196697:QAS196697 QKH196697:QKO196697 QUD196697:QUK196697 RDZ196697:REG196697 RNV196697:ROC196697 RXR196697:RXY196697 SHN196697:SHU196697 SRJ196697:SRQ196697 TBF196697:TBM196697 TLB196697:TLI196697 TUX196697:TVE196697 UET196697:UFA196697 UOP196697:UOW196697 UYL196697:UYS196697 VIH196697:VIO196697 VSD196697:VSK196697 WBZ196697:WCG196697 WLV196697:WMC196697 WVR196697:WVY196697 JF262233:JM262233 TB262233:TI262233 ACX262233:ADE262233 AMT262233:ANA262233 AWP262233:AWW262233 BGL262233:BGS262233 BQH262233:BQO262233 CAD262233:CAK262233 CJZ262233:CKG262233 CTV262233:CUC262233 DDR262233:DDY262233 DNN262233:DNU262233 DXJ262233:DXQ262233 EHF262233:EHM262233 ERB262233:ERI262233 FAX262233:FBE262233 FKT262233:FLA262233 FUP262233:FUW262233 GEL262233:GES262233 GOH262233:GOO262233 GYD262233:GYK262233 HHZ262233:HIG262233 HRV262233:HSC262233 IBR262233:IBY262233 ILN262233:ILU262233 IVJ262233:IVQ262233 JFF262233:JFM262233 JPB262233:JPI262233 JYX262233:JZE262233 KIT262233:KJA262233 KSP262233:KSW262233 LCL262233:LCS262233 LMH262233:LMO262233 LWD262233:LWK262233 MFZ262233:MGG262233 MPV262233:MQC262233 MZR262233:MZY262233 NJN262233:NJU262233 NTJ262233:NTQ262233 ODF262233:ODM262233 ONB262233:ONI262233 OWX262233:OXE262233 PGT262233:PHA262233 PQP262233:PQW262233 QAL262233:QAS262233 QKH262233:QKO262233 QUD262233:QUK262233 RDZ262233:REG262233 RNV262233:ROC262233 RXR262233:RXY262233 SHN262233:SHU262233 SRJ262233:SRQ262233 TBF262233:TBM262233 TLB262233:TLI262233 TUX262233:TVE262233 UET262233:UFA262233 UOP262233:UOW262233 UYL262233:UYS262233 VIH262233:VIO262233 VSD262233:VSK262233 WBZ262233:WCG262233 WLV262233:WMC262233 WVR262233:WVY262233 JF327769:JM327769 TB327769:TI327769 ACX327769:ADE327769 AMT327769:ANA327769 AWP327769:AWW327769 BGL327769:BGS327769 BQH327769:BQO327769 CAD327769:CAK327769 CJZ327769:CKG327769 CTV327769:CUC327769 DDR327769:DDY327769 DNN327769:DNU327769 DXJ327769:DXQ327769 EHF327769:EHM327769 ERB327769:ERI327769 FAX327769:FBE327769 FKT327769:FLA327769 FUP327769:FUW327769 GEL327769:GES327769 GOH327769:GOO327769 GYD327769:GYK327769 HHZ327769:HIG327769 HRV327769:HSC327769 IBR327769:IBY327769 ILN327769:ILU327769 IVJ327769:IVQ327769 JFF327769:JFM327769 JPB327769:JPI327769 JYX327769:JZE327769 KIT327769:KJA327769 KSP327769:KSW327769 LCL327769:LCS327769 LMH327769:LMO327769 LWD327769:LWK327769 MFZ327769:MGG327769 MPV327769:MQC327769 MZR327769:MZY327769 NJN327769:NJU327769 NTJ327769:NTQ327769 ODF327769:ODM327769 ONB327769:ONI327769 OWX327769:OXE327769 PGT327769:PHA327769 PQP327769:PQW327769 QAL327769:QAS327769 QKH327769:QKO327769 QUD327769:QUK327769 RDZ327769:REG327769 RNV327769:ROC327769 RXR327769:RXY327769 SHN327769:SHU327769 SRJ327769:SRQ327769 TBF327769:TBM327769 TLB327769:TLI327769 TUX327769:TVE327769 UET327769:UFA327769 UOP327769:UOW327769 UYL327769:UYS327769 VIH327769:VIO327769 VSD327769:VSK327769 WBZ327769:WCG327769 WLV327769:WMC327769 WVR327769:WVY327769 JF393305:JM393305 TB393305:TI393305 ACX393305:ADE393305 AMT393305:ANA393305 AWP393305:AWW393305 BGL393305:BGS393305 BQH393305:BQO393305 CAD393305:CAK393305 CJZ393305:CKG393305 CTV393305:CUC393305 DDR393305:DDY393305 DNN393305:DNU393305 DXJ393305:DXQ393305 EHF393305:EHM393305 ERB393305:ERI393305 FAX393305:FBE393305 FKT393305:FLA393305 FUP393305:FUW393305 GEL393305:GES393305 GOH393305:GOO393305 GYD393305:GYK393305 HHZ393305:HIG393305 HRV393305:HSC393305 IBR393305:IBY393305 ILN393305:ILU393305 IVJ393305:IVQ393305 JFF393305:JFM393305 JPB393305:JPI393305 JYX393305:JZE393305 KIT393305:KJA393305 KSP393305:KSW393305 LCL393305:LCS393305 LMH393305:LMO393305 LWD393305:LWK393305 MFZ393305:MGG393305 MPV393305:MQC393305 MZR393305:MZY393305 NJN393305:NJU393305 NTJ393305:NTQ393305 ODF393305:ODM393305 ONB393305:ONI393305 OWX393305:OXE393305 PGT393305:PHA393305 PQP393305:PQW393305 QAL393305:QAS393305 QKH393305:QKO393305 QUD393305:QUK393305 RDZ393305:REG393305 RNV393305:ROC393305 RXR393305:RXY393305 SHN393305:SHU393305 SRJ393305:SRQ393305 TBF393305:TBM393305 TLB393305:TLI393305 TUX393305:TVE393305 UET393305:UFA393305 UOP393305:UOW393305 UYL393305:UYS393305 VIH393305:VIO393305 VSD393305:VSK393305 WBZ393305:WCG393305 WLV393305:WMC393305 WVR393305:WVY393305 JF458841:JM458841 TB458841:TI458841 ACX458841:ADE458841 AMT458841:ANA458841 AWP458841:AWW458841 BGL458841:BGS458841 BQH458841:BQO458841 CAD458841:CAK458841 CJZ458841:CKG458841 CTV458841:CUC458841 DDR458841:DDY458841 DNN458841:DNU458841 DXJ458841:DXQ458841 EHF458841:EHM458841 ERB458841:ERI458841 FAX458841:FBE458841 FKT458841:FLA458841 FUP458841:FUW458841 GEL458841:GES458841 GOH458841:GOO458841 GYD458841:GYK458841 HHZ458841:HIG458841 HRV458841:HSC458841 IBR458841:IBY458841 ILN458841:ILU458841 IVJ458841:IVQ458841 JFF458841:JFM458841 JPB458841:JPI458841 JYX458841:JZE458841 KIT458841:KJA458841 KSP458841:KSW458841 LCL458841:LCS458841 LMH458841:LMO458841 LWD458841:LWK458841 MFZ458841:MGG458841 MPV458841:MQC458841 MZR458841:MZY458841 NJN458841:NJU458841 NTJ458841:NTQ458841 ODF458841:ODM458841 ONB458841:ONI458841 OWX458841:OXE458841 PGT458841:PHA458841 PQP458841:PQW458841 QAL458841:QAS458841 QKH458841:QKO458841 QUD458841:QUK458841 RDZ458841:REG458841 RNV458841:ROC458841 RXR458841:RXY458841 SHN458841:SHU458841 SRJ458841:SRQ458841 TBF458841:TBM458841 TLB458841:TLI458841 TUX458841:TVE458841 UET458841:UFA458841 UOP458841:UOW458841 UYL458841:UYS458841 VIH458841:VIO458841 VSD458841:VSK458841 WBZ458841:WCG458841 WLV458841:WMC458841 WVR458841:WVY458841 JF524377:JM524377 TB524377:TI524377 ACX524377:ADE524377 AMT524377:ANA524377 AWP524377:AWW524377 BGL524377:BGS524377 BQH524377:BQO524377 CAD524377:CAK524377 CJZ524377:CKG524377 CTV524377:CUC524377 DDR524377:DDY524377 DNN524377:DNU524377 DXJ524377:DXQ524377 EHF524377:EHM524377 ERB524377:ERI524377 FAX524377:FBE524377 FKT524377:FLA524377 FUP524377:FUW524377 GEL524377:GES524377 GOH524377:GOO524377 GYD524377:GYK524377 HHZ524377:HIG524377 HRV524377:HSC524377 IBR524377:IBY524377 ILN524377:ILU524377 IVJ524377:IVQ524377 JFF524377:JFM524377 JPB524377:JPI524377 JYX524377:JZE524377 KIT524377:KJA524377 KSP524377:KSW524377 LCL524377:LCS524377 LMH524377:LMO524377 LWD524377:LWK524377 MFZ524377:MGG524377 MPV524377:MQC524377 MZR524377:MZY524377 NJN524377:NJU524377 NTJ524377:NTQ524377 ODF524377:ODM524377 ONB524377:ONI524377 OWX524377:OXE524377 PGT524377:PHA524377 PQP524377:PQW524377 QAL524377:QAS524377 QKH524377:QKO524377 QUD524377:QUK524377 RDZ524377:REG524377 RNV524377:ROC524377 RXR524377:RXY524377 SHN524377:SHU524377 SRJ524377:SRQ524377 TBF524377:TBM524377 TLB524377:TLI524377 TUX524377:TVE524377 UET524377:UFA524377 UOP524377:UOW524377 UYL524377:UYS524377 VIH524377:VIO524377 VSD524377:VSK524377 WBZ524377:WCG524377 WLV524377:WMC524377 WVR524377:WVY524377 JF589913:JM589913 TB589913:TI589913 ACX589913:ADE589913 AMT589913:ANA589913 AWP589913:AWW589913 BGL589913:BGS589913 BQH589913:BQO589913 CAD589913:CAK589913 CJZ589913:CKG589913 CTV589913:CUC589913 DDR589913:DDY589913 DNN589913:DNU589913 DXJ589913:DXQ589913 EHF589913:EHM589913 ERB589913:ERI589913 FAX589913:FBE589913 FKT589913:FLA589913 FUP589913:FUW589913 GEL589913:GES589913 GOH589913:GOO589913 GYD589913:GYK589913 HHZ589913:HIG589913 HRV589913:HSC589913 IBR589913:IBY589913 ILN589913:ILU589913 IVJ589913:IVQ589913 JFF589913:JFM589913 JPB589913:JPI589913 JYX589913:JZE589913 KIT589913:KJA589913 KSP589913:KSW589913 LCL589913:LCS589913 LMH589913:LMO589913 LWD589913:LWK589913 MFZ589913:MGG589913 MPV589913:MQC589913 MZR589913:MZY589913 NJN589913:NJU589913 NTJ589913:NTQ589913 ODF589913:ODM589913 ONB589913:ONI589913 OWX589913:OXE589913 PGT589913:PHA589913 PQP589913:PQW589913 QAL589913:QAS589913 QKH589913:QKO589913 QUD589913:QUK589913 RDZ589913:REG589913 RNV589913:ROC589913 RXR589913:RXY589913 SHN589913:SHU589913 SRJ589913:SRQ589913 TBF589913:TBM589913 TLB589913:TLI589913 TUX589913:TVE589913 UET589913:UFA589913 UOP589913:UOW589913 UYL589913:UYS589913 VIH589913:VIO589913 VSD589913:VSK589913 WBZ589913:WCG589913 WLV589913:WMC589913 WVR589913:WVY589913 JF655449:JM655449 TB655449:TI655449 ACX655449:ADE655449 AMT655449:ANA655449 AWP655449:AWW655449 BGL655449:BGS655449 BQH655449:BQO655449 CAD655449:CAK655449 CJZ655449:CKG655449 CTV655449:CUC655449 DDR655449:DDY655449 DNN655449:DNU655449 DXJ655449:DXQ655449 EHF655449:EHM655449 ERB655449:ERI655449 FAX655449:FBE655449 FKT655449:FLA655449 FUP655449:FUW655449 GEL655449:GES655449 GOH655449:GOO655449 GYD655449:GYK655449 HHZ655449:HIG655449 HRV655449:HSC655449 IBR655449:IBY655449 ILN655449:ILU655449 IVJ655449:IVQ655449 JFF655449:JFM655449 JPB655449:JPI655449 JYX655449:JZE655449 KIT655449:KJA655449 KSP655449:KSW655449 LCL655449:LCS655449 LMH655449:LMO655449 LWD655449:LWK655449 MFZ655449:MGG655449 MPV655449:MQC655449 MZR655449:MZY655449 NJN655449:NJU655449 NTJ655449:NTQ655449 ODF655449:ODM655449 ONB655449:ONI655449 OWX655449:OXE655449 PGT655449:PHA655449 PQP655449:PQW655449 QAL655449:QAS655449 QKH655449:QKO655449 QUD655449:QUK655449 RDZ655449:REG655449 RNV655449:ROC655449 RXR655449:RXY655449 SHN655449:SHU655449 SRJ655449:SRQ655449 TBF655449:TBM655449 TLB655449:TLI655449 TUX655449:TVE655449 UET655449:UFA655449 UOP655449:UOW655449 UYL655449:UYS655449 VIH655449:VIO655449 VSD655449:VSK655449 WBZ655449:WCG655449 WLV655449:WMC655449 WVR655449:WVY655449 JF720985:JM720985 TB720985:TI720985 ACX720985:ADE720985 AMT720985:ANA720985 AWP720985:AWW720985 BGL720985:BGS720985 BQH720985:BQO720985 CAD720985:CAK720985 CJZ720985:CKG720985 CTV720985:CUC720985 DDR720985:DDY720985 DNN720985:DNU720985 DXJ720985:DXQ720985 EHF720985:EHM720985 ERB720985:ERI720985 FAX720985:FBE720985 FKT720985:FLA720985 FUP720985:FUW720985 GEL720985:GES720985 GOH720985:GOO720985 GYD720985:GYK720985 HHZ720985:HIG720985 HRV720985:HSC720985 IBR720985:IBY720985 ILN720985:ILU720985 IVJ720985:IVQ720985 JFF720985:JFM720985 JPB720985:JPI720985 JYX720985:JZE720985 KIT720985:KJA720985 KSP720985:KSW720985 LCL720985:LCS720985 LMH720985:LMO720985 LWD720985:LWK720985 MFZ720985:MGG720985 MPV720985:MQC720985 MZR720985:MZY720985 NJN720985:NJU720985 NTJ720985:NTQ720985 ODF720985:ODM720985 ONB720985:ONI720985 OWX720985:OXE720985 PGT720985:PHA720985 PQP720985:PQW720985 QAL720985:QAS720985 QKH720985:QKO720985 QUD720985:QUK720985 RDZ720985:REG720985 RNV720985:ROC720985 RXR720985:RXY720985 SHN720985:SHU720985 SRJ720985:SRQ720985 TBF720985:TBM720985 TLB720985:TLI720985 TUX720985:TVE720985 UET720985:UFA720985 UOP720985:UOW720985 UYL720985:UYS720985 VIH720985:VIO720985 VSD720985:VSK720985 WBZ720985:WCG720985 WLV720985:WMC720985 WVR720985:WVY720985 JF786521:JM786521 TB786521:TI786521 ACX786521:ADE786521 AMT786521:ANA786521 AWP786521:AWW786521 BGL786521:BGS786521 BQH786521:BQO786521 CAD786521:CAK786521 CJZ786521:CKG786521 CTV786521:CUC786521 DDR786521:DDY786521 DNN786521:DNU786521 DXJ786521:DXQ786521 EHF786521:EHM786521 ERB786521:ERI786521 FAX786521:FBE786521 FKT786521:FLA786521 FUP786521:FUW786521 GEL786521:GES786521 GOH786521:GOO786521 GYD786521:GYK786521 HHZ786521:HIG786521 HRV786521:HSC786521 IBR786521:IBY786521 ILN786521:ILU786521 IVJ786521:IVQ786521 JFF786521:JFM786521 JPB786521:JPI786521 JYX786521:JZE786521 KIT786521:KJA786521 KSP786521:KSW786521 LCL786521:LCS786521 LMH786521:LMO786521 LWD786521:LWK786521 MFZ786521:MGG786521 MPV786521:MQC786521 MZR786521:MZY786521 NJN786521:NJU786521 NTJ786521:NTQ786521 ODF786521:ODM786521 ONB786521:ONI786521 OWX786521:OXE786521 PGT786521:PHA786521 PQP786521:PQW786521 QAL786521:QAS786521 QKH786521:QKO786521 QUD786521:QUK786521 RDZ786521:REG786521 RNV786521:ROC786521 RXR786521:RXY786521 SHN786521:SHU786521 SRJ786521:SRQ786521 TBF786521:TBM786521 TLB786521:TLI786521 TUX786521:TVE786521 UET786521:UFA786521 UOP786521:UOW786521 UYL786521:UYS786521 VIH786521:VIO786521 VSD786521:VSK786521 WBZ786521:WCG786521 WLV786521:WMC786521 WVR786521:WVY786521 JF852057:JM852057 TB852057:TI852057 ACX852057:ADE852057 AMT852057:ANA852057 AWP852057:AWW852057 BGL852057:BGS852057 BQH852057:BQO852057 CAD852057:CAK852057 CJZ852057:CKG852057 CTV852057:CUC852057 DDR852057:DDY852057 DNN852057:DNU852057 DXJ852057:DXQ852057 EHF852057:EHM852057 ERB852057:ERI852057 FAX852057:FBE852057 FKT852057:FLA852057 FUP852057:FUW852057 GEL852057:GES852057 GOH852057:GOO852057 GYD852057:GYK852057 HHZ852057:HIG852057 HRV852057:HSC852057 IBR852057:IBY852057 ILN852057:ILU852057 IVJ852057:IVQ852057 JFF852057:JFM852057 JPB852057:JPI852057 JYX852057:JZE852057 KIT852057:KJA852057 KSP852057:KSW852057 LCL852057:LCS852057 LMH852057:LMO852057 LWD852057:LWK852057 MFZ852057:MGG852057 MPV852057:MQC852057 MZR852057:MZY852057 NJN852057:NJU852057 NTJ852057:NTQ852057 ODF852057:ODM852057 ONB852057:ONI852057 OWX852057:OXE852057 PGT852057:PHA852057 PQP852057:PQW852057 QAL852057:QAS852057 QKH852057:QKO852057 QUD852057:QUK852057 RDZ852057:REG852057 RNV852057:ROC852057 RXR852057:RXY852057 SHN852057:SHU852057 SRJ852057:SRQ852057 TBF852057:TBM852057 TLB852057:TLI852057 TUX852057:TVE852057 UET852057:UFA852057 UOP852057:UOW852057 UYL852057:UYS852057 VIH852057:VIO852057 VSD852057:VSK852057 WBZ852057:WCG852057 WLV852057:WMC852057 WVR852057:WVY852057 JF917593:JM917593 TB917593:TI917593 ACX917593:ADE917593 AMT917593:ANA917593 AWP917593:AWW917593 BGL917593:BGS917593 BQH917593:BQO917593 CAD917593:CAK917593 CJZ917593:CKG917593 CTV917593:CUC917593 DDR917593:DDY917593 DNN917593:DNU917593 DXJ917593:DXQ917593 EHF917593:EHM917593 ERB917593:ERI917593 FAX917593:FBE917593 FKT917593:FLA917593 FUP917593:FUW917593 GEL917593:GES917593 GOH917593:GOO917593 GYD917593:GYK917593 HHZ917593:HIG917593 HRV917593:HSC917593 IBR917593:IBY917593 ILN917593:ILU917593 IVJ917593:IVQ917593 JFF917593:JFM917593 JPB917593:JPI917593 JYX917593:JZE917593 KIT917593:KJA917593 KSP917593:KSW917593 LCL917593:LCS917593 LMH917593:LMO917593 LWD917593:LWK917593 MFZ917593:MGG917593 MPV917593:MQC917593 MZR917593:MZY917593 NJN917593:NJU917593 NTJ917593:NTQ917593 ODF917593:ODM917593 ONB917593:ONI917593 OWX917593:OXE917593 PGT917593:PHA917593 PQP917593:PQW917593 QAL917593:QAS917593 QKH917593:QKO917593 QUD917593:QUK917593 RDZ917593:REG917593 RNV917593:ROC917593 RXR917593:RXY917593 SHN917593:SHU917593 SRJ917593:SRQ917593 TBF917593:TBM917593 TLB917593:TLI917593 TUX917593:TVE917593 UET917593:UFA917593 UOP917593:UOW917593 UYL917593:UYS917593 VIH917593:VIO917593 VSD917593:VSK917593 WBZ917593:WCG917593 WLV917593:WMC917593 WVR917593:WVY917593 JF983129:JM983129 TB983129:TI983129 ACX983129:ADE983129 AMT983129:ANA983129 AWP983129:AWW983129 BGL983129:BGS983129 BQH983129:BQO983129 CAD983129:CAK983129 CJZ983129:CKG983129 CTV983129:CUC983129 DDR983129:DDY983129 DNN983129:DNU983129 DXJ983129:DXQ983129 EHF983129:EHM983129 ERB983129:ERI983129 FAX983129:FBE983129 FKT983129:FLA983129 FUP983129:FUW983129 GEL983129:GES983129 GOH983129:GOO983129 GYD983129:GYK983129 HHZ983129:HIG983129 HRV983129:HSC983129 IBR983129:IBY983129 ILN983129:ILU983129 IVJ983129:IVQ983129 JFF983129:JFM983129 JPB983129:JPI983129 JYX983129:JZE983129 KIT983129:KJA983129 KSP983129:KSW983129 LCL983129:LCS983129 LMH983129:LMO983129 LWD983129:LWK983129 MFZ983129:MGG983129 MPV983129:MQC983129 MZR983129:MZY983129 NJN983129:NJU983129 NTJ983129:NTQ983129 ODF983129:ODM983129 ONB983129:ONI983129 OWX983129:OXE983129 PGT983129:PHA983129 PQP983129:PQW983129 QAL983129:QAS983129 QKH983129:QKO983129 QUD983129:QUK983129 RDZ983129:REG983129 RNV983129:ROC983129 RXR983129:RXY983129 SHN983129:SHU983129 SRJ983129:SRQ983129 TBF983129:TBM983129 TLB983129:TLI983129 TUX983129:TVE983129 UET983129:UFA983129 UOP983129:UOW983129 UYL983129:UYS983129 VIH983129:VIO983129 VSD983129:VSK983129 WBZ983129:WCG983129 WLV983129:WMC983129 WVR983129:WVY983129 JF11:JM11 TB11:TI11 ACX11:ADE11 AMT11:ANA11 AWP11:AWW11 BGL11:BGS11 BQH11:BQO11 CAD11:CAK11 CJZ11:CKG11 CTV11:CUC11 DDR11:DDY11 DNN11:DNU11 DXJ11:DXQ11 EHF11:EHM11 ERB11:ERI11 FAX11:FBE11 FKT11:FLA11 FUP11:FUW11 GEL11:GES11 GOH11:GOO11 GYD11:GYK11 HHZ11:HIG11 HRV11:HSC11 IBR11:IBY11 ILN11:ILU11 IVJ11:IVQ11 JFF11:JFM11 JPB11:JPI11 JYX11:JZE11 KIT11:KJA11 KSP11:KSW11 LCL11:LCS11 LMH11:LMO11 LWD11:LWK11 MFZ11:MGG11 MPV11:MQC11 MZR11:MZY11 NJN11:NJU11 NTJ11:NTQ11 ODF11:ODM11 ONB11:ONI11 OWX11:OXE11 PGT11:PHA11 PQP11:PQW11 QAL11:QAS11 QKH11:QKO11 QUD11:QUK11 RDZ11:REG11 RNV11:ROC11 RXR11:RXY11 SHN11:SHU11 SRJ11:SRQ11 TBF11:TBM11 TLB11:TLI11 TUX11:TVE11 UET11:UFA11 UOP11:UOW11 UYL11:UYS11 VIH11:VIO11 VSD11:VSK11 WBZ11:WCG11 WLV11:WMC11 WVR11:WVY11 JF65547:JM65547 TB65547:TI65547 ACX65547:ADE65547 AMT65547:ANA65547 AWP65547:AWW65547 BGL65547:BGS65547 BQH65547:BQO65547 CAD65547:CAK65547 CJZ65547:CKG65547 CTV65547:CUC65547 DDR65547:DDY65547 DNN65547:DNU65547 DXJ65547:DXQ65547 EHF65547:EHM65547 ERB65547:ERI65547 FAX65547:FBE65547 FKT65547:FLA65547 FUP65547:FUW65547 GEL65547:GES65547 GOH65547:GOO65547 GYD65547:GYK65547 HHZ65547:HIG65547 HRV65547:HSC65547 IBR65547:IBY65547 ILN65547:ILU65547 IVJ65547:IVQ65547 JFF65547:JFM65547 JPB65547:JPI65547 JYX65547:JZE65547 KIT65547:KJA65547 KSP65547:KSW65547 LCL65547:LCS65547 LMH65547:LMO65547 LWD65547:LWK65547 MFZ65547:MGG65547 MPV65547:MQC65547 MZR65547:MZY65547 NJN65547:NJU65547 NTJ65547:NTQ65547 ODF65547:ODM65547 ONB65547:ONI65547 OWX65547:OXE65547 PGT65547:PHA65547 PQP65547:PQW65547 QAL65547:QAS65547 QKH65547:QKO65547 QUD65547:QUK65547 RDZ65547:REG65547 RNV65547:ROC65547 RXR65547:RXY65547 SHN65547:SHU65547 SRJ65547:SRQ65547 TBF65547:TBM65547 TLB65547:TLI65547 TUX65547:TVE65547 UET65547:UFA65547 UOP65547:UOW65547 UYL65547:UYS65547 VIH65547:VIO65547 VSD65547:VSK65547 WBZ65547:WCG65547 WLV65547:WMC65547 WVR65547:WVY65547 JF131083:JM131083 TB131083:TI131083 ACX131083:ADE131083 AMT131083:ANA131083 AWP131083:AWW131083 BGL131083:BGS131083 BQH131083:BQO131083 CAD131083:CAK131083 CJZ131083:CKG131083 CTV131083:CUC131083 DDR131083:DDY131083 DNN131083:DNU131083 DXJ131083:DXQ131083 EHF131083:EHM131083 ERB131083:ERI131083 FAX131083:FBE131083 FKT131083:FLA131083 FUP131083:FUW131083 GEL131083:GES131083 GOH131083:GOO131083 GYD131083:GYK131083 HHZ131083:HIG131083 HRV131083:HSC131083 IBR131083:IBY131083 ILN131083:ILU131083 IVJ131083:IVQ131083 JFF131083:JFM131083 JPB131083:JPI131083 JYX131083:JZE131083 KIT131083:KJA131083 KSP131083:KSW131083 LCL131083:LCS131083 LMH131083:LMO131083 LWD131083:LWK131083 MFZ131083:MGG131083 MPV131083:MQC131083 MZR131083:MZY131083 NJN131083:NJU131083 NTJ131083:NTQ131083 ODF131083:ODM131083 ONB131083:ONI131083 OWX131083:OXE131083 PGT131083:PHA131083 PQP131083:PQW131083 QAL131083:QAS131083 QKH131083:QKO131083 QUD131083:QUK131083 RDZ131083:REG131083 RNV131083:ROC131083 RXR131083:RXY131083 SHN131083:SHU131083 SRJ131083:SRQ131083 TBF131083:TBM131083 TLB131083:TLI131083 TUX131083:TVE131083 UET131083:UFA131083 UOP131083:UOW131083 UYL131083:UYS131083 VIH131083:VIO131083 VSD131083:VSK131083 WBZ131083:WCG131083 WLV131083:WMC131083 WVR131083:WVY131083 JF196619:JM196619 TB196619:TI196619 ACX196619:ADE196619 AMT196619:ANA196619 AWP196619:AWW196619 BGL196619:BGS196619 BQH196619:BQO196619 CAD196619:CAK196619 CJZ196619:CKG196619 CTV196619:CUC196619 DDR196619:DDY196619 DNN196619:DNU196619 DXJ196619:DXQ196619 EHF196619:EHM196619 ERB196619:ERI196619 FAX196619:FBE196619 FKT196619:FLA196619 FUP196619:FUW196619 GEL196619:GES196619 GOH196619:GOO196619 GYD196619:GYK196619 HHZ196619:HIG196619 HRV196619:HSC196619 IBR196619:IBY196619 ILN196619:ILU196619 IVJ196619:IVQ196619 JFF196619:JFM196619 JPB196619:JPI196619 JYX196619:JZE196619 KIT196619:KJA196619 KSP196619:KSW196619 LCL196619:LCS196619 LMH196619:LMO196619 LWD196619:LWK196619 MFZ196619:MGG196619 MPV196619:MQC196619 MZR196619:MZY196619 NJN196619:NJU196619 NTJ196619:NTQ196619 ODF196619:ODM196619 ONB196619:ONI196619 OWX196619:OXE196619 PGT196619:PHA196619 PQP196619:PQW196619 QAL196619:QAS196619 QKH196619:QKO196619 QUD196619:QUK196619 RDZ196619:REG196619 RNV196619:ROC196619 RXR196619:RXY196619 SHN196619:SHU196619 SRJ196619:SRQ196619 TBF196619:TBM196619 TLB196619:TLI196619 TUX196619:TVE196619 UET196619:UFA196619 UOP196619:UOW196619 UYL196619:UYS196619 VIH196619:VIO196619 VSD196619:VSK196619 WBZ196619:WCG196619 WLV196619:WMC196619 WVR196619:WVY196619 JF262155:JM262155 TB262155:TI262155 ACX262155:ADE262155 AMT262155:ANA262155 AWP262155:AWW262155 BGL262155:BGS262155 BQH262155:BQO262155 CAD262155:CAK262155 CJZ262155:CKG262155 CTV262155:CUC262155 DDR262155:DDY262155 DNN262155:DNU262155 DXJ262155:DXQ262155 EHF262155:EHM262155 ERB262155:ERI262155 FAX262155:FBE262155 FKT262155:FLA262155 FUP262155:FUW262155 GEL262155:GES262155 GOH262155:GOO262155 GYD262155:GYK262155 HHZ262155:HIG262155 HRV262155:HSC262155 IBR262155:IBY262155 ILN262155:ILU262155 IVJ262155:IVQ262155 JFF262155:JFM262155 JPB262155:JPI262155 JYX262155:JZE262155 KIT262155:KJA262155 KSP262155:KSW262155 LCL262155:LCS262155 LMH262155:LMO262155 LWD262155:LWK262155 MFZ262155:MGG262155 MPV262155:MQC262155 MZR262155:MZY262155 NJN262155:NJU262155 NTJ262155:NTQ262155 ODF262155:ODM262155 ONB262155:ONI262155 OWX262155:OXE262155 PGT262155:PHA262155 PQP262155:PQW262155 QAL262155:QAS262155 QKH262155:QKO262155 QUD262155:QUK262155 RDZ262155:REG262155 RNV262155:ROC262155 RXR262155:RXY262155 SHN262155:SHU262155 SRJ262155:SRQ262155 TBF262155:TBM262155 TLB262155:TLI262155 TUX262155:TVE262155 UET262155:UFA262155 UOP262155:UOW262155 UYL262155:UYS262155 VIH262155:VIO262155 VSD262155:VSK262155 WBZ262155:WCG262155 WLV262155:WMC262155 WVR262155:WVY262155 JF327691:JM327691 TB327691:TI327691 ACX327691:ADE327691 AMT327691:ANA327691 AWP327691:AWW327691 BGL327691:BGS327691 BQH327691:BQO327691 CAD327691:CAK327691 CJZ327691:CKG327691 CTV327691:CUC327691 DDR327691:DDY327691 DNN327691:DNU327691 DXJ327691:DXQ327691 EHF327691:EHM327691 ERB327691:ERI327691 FAX327691:FBE327691 FKT327691:FLA327691 FUP327691:FUW327691 GEL327691:GES327691 GOH327691:GOO327691 GYD327691:GYK327691 HHZ327691:HIG327691 HRV327691:HSC327691 IBR327691:IBY327691 ILN327691:ILU327691 IVJ327691:IVQ327691 JFF327691:JFM327691 JPB327691:JPI327691 JYX327691:JZE327691 KIT327691:KJA327691 KSP327691:KSW327691 LCL327691:LCS327691 LMH327691:LMO327691 LWD327691:LWK327691 MFZ327691:MGG327691 MPV327691:MQC327691 MZR327691:MZY327691 NJN327691:NJU327691 NTJ327691:NTQ327691 ODF327691:ODM327691 ONB327691:ONI327691 OWX327691:OXE327691 PGT327691:PHA327691 PQP327691:PQW327691 QAL327691:QAS327691 QKH327691:QKO327691 QUD327691:QUK327691 RDZ327691:REG327691 RNV327691:ROC327691 RXR327691:RXY327691 SHN327691:SHU327691 SRJ327691:SRQ327691 TBF327691:TBM327691 TLB327691:TLI327691 TUX327691:TVE327691 UET327691:UFA327691 UOP327691:UOW327691 UYL327691:UYS327691 VIH327691:VIO327691 VSD327691:VSK327691 WBZ327691:WCG327691 WLV327691:WMC327691 WVR327691:WVY327691 JF393227:JM393227 TB393227:TI393227 ACX393227:ADE393227 AMT393227:ANA393227 AWP393227:AWW393227 BGL393227:BGS393227 BQH393227:BQO393227 CAD393227:CAK393227 CJZ393227:CKG393227 CTV393227:CUC393227 DDR393227:DDY393227 DNN393227:DNU393227 DXJ393227:DXQ393227 EHF393227:EHM393227 ERB393227:ERI393227 FAX393227:FBE393227 FKT393227:FLA393227 FUP393227:FUW393227 GEL393227:GES393227 GOH393227:GOO393227 GYD393227:GYK393227 HHZ393227:HIG393227 HRV393227:HSC393227 IBR393227:IBY393227 ILN393227:ILU393227 IVJ393227:IVQ393227 JFF393227:JFM393227 JPB393227:JPI393227 JYX393227:JZE393227 KIT393227:KJA393227 KSP393227:KSW393227 LCL393227:LCS393227 LMH393227:LMO393227 LWD393227:LWK393227 MFZ393227:MGG393227 MPV393227:MQC393227 MZR393227:MZY393227 NJN393227:NJU393227 NTJ393227:NTQ393227 ODF393227:ODM393227 ONB393227:ONI393227 OWX393227:OXE393227 PGT393227:PHA393227 PQP393227:PQW393227 QAL393227:QAS393227 QKH393227:QKO393227 QUD393227:QUK393227 RDZ393227:REG393227 RNV393227:ROC393227 RXR393227:RXY393227 SHN393227:SHU393227 SRJ393227:SRQ393227 TBF393227:TBM393227 TLB393227:TLI393227 TUX393227:TVE393227 UET393227:UFA393227 UOP393227:UOW393227 UYL393227:UYS393227 VIH393227:VIO393227 VSD393227:VSK393227 WBZ393227:WCG393227 WLV393227:WMC393227 WVR393227:WVY393227 JF458763:JM458763 TB458763:TI458763 ACX458763:ADE458763 AMT458763:ANA458763 AWP458763:AWW458763 BGL458763:BGS458763 BQH458763:BQO458763 CAD458763:CAK458763 CJZ458763:CKG458763 CTV458763:CUC458763 DDR458763:DDY458763 DNN458763:DNU458763 DXJ458763:DXQ458763 EHF458763:EHM458763 ERB458763:ERI458763 FAX458763:FBE458763 FKT458763:FLA458763 FUP458763:FUW458763 GEL458763:GES458763 GOH458763:GOO458763 GYD458763:GYK458763 HHZ458763:HIG458763 HRV458763:HSC458763 IBR458763:IBY458763 ILN458763:ILU458763 IVJ458763:IVQ458763 JFF458763:JFM458763 JPB458763:JPI458763 JYX458763:JZE458763 KIT458763:KJA458763 KSP458763:KSW458763 LCL458763:LCS458763 LMH458763:LMO458763 LWD458763:LWK458763 MFZ458763:MGG458763 MPV458763:MQC458763 MZR458763:MZY458763 NJN458763:NJU458763 NTJ458763:NTQ458763 ODF458763:ODM458763 ONB458763:ONI458763 OWX458763:OXE458763 PGT458763:PHA458763 PQP458763:PQW458763 QAL458763:QAS458763 QKH458763:QKO458763 QUD458763:QUK458763 RDZ458763:REG458763 RNV458763:ROC458763 RXR458763:RXY458763 SHN458763:SHU458763 SRJ458763:SRQ458763 TBF458763:TBM458763 TLB458763:TLI458763 TUX458763:TVE458763 UET458763:UFA458763 UOP458763:UOW458763 UYL458763:UYS458763 VIH458763:VIO458763 VSD458763:VSK458763 WBZ458763:WCG458763 WLV458763:WMC458763 WVR458763:WVY458763 JF524299:JM524299 TB524299:TI524299 ACX524299:ADE524299 AMT524299:ANA524299 AWP524299:AWW524299 BGL524299:BGS524299 BQH524299:BQO524299 CAD524299:CAK524299 CJZ524299:CKG524299 CTV524299:CUC524299 DDR524299:DDY524299 DNN524299:DNU524299 DXJ524299:DXQ524299 EHF524299:EHM524299 ERB524299:ERI524299 FAX524299:FBE524299 FKT524299:FLA524299 FUP524299:FUW524299 GEL524299:GES524299 GOH524299:GOO524299 GYD524299:GYK524299 HHZ524299:HIG524299 HRV524299:HSC524299 IBR524299:IBY524299 ILN524299:ILU524299 IVJ524299:IVQ524299 JFF524299:JFM524299 JPB524299:JPI524299 JYX524299:JZE524299 KIT524299:KJA524299 KSP524299:KSW524299 LCL524299:LCS524299 LMH524299:LMO524299 LWD524299:LWK524299 MFZ524299:MGG524299 MPV524299:MQC524299 MZR524299:MZY524299 NJN524299:NJU524299 NTJ524299:NTQ524299 ODF524299:ODM524299 ONB524299:ONI524299 OWX524299:OXE524299 PGT524299:PHA524299 PQP524299:PQW524299 QAL524299:QAS524299 QKH524299:QKO524299 QUD524299:QUK524299 RDZ524299:REG524299 RNV524299:ROC524299 RXR524299:RXY524299 SHN524299:SHU524299 SRJ524299:SRQ524299 TBF524299:TBM524299 TLB524299:TLI524299 TUX524299:TVE524299 UET524299:UFA524299 UOP524299:UOW524299 UYL524299:UYS524299 VIH524299:VIO524299 VSD524299:VSK524299 WBZ524299:WCG524299 WLV524299:WMC524299 WVR524299:WVY524299 JF589835:JM589835 TB589835:TI589835 ACX589835:ADE589835 AMT589835:ANA589835 AWP589835:AWW589835 BGL589835:BGS589835 BQH589835:BQO589835 CAD589835:CAK589835 CJZ589835:CKG589835 CTV589835:CUC589835 DDR589835:DDY589835 DNN589835:DNU589835 DXJ589835:DXQ589835 EHF589835:EHM589835 ERB589835:ERI589835 FAX589835:FBE589835 FKT589835:FLA589835 FUP589835:FUW589835 GEL589835:GES589835 GOH589835:GOO589835 GYD589835:GYK589835 HHZ589835:HIG589835 HRV589835:HSC589835 IBR589835:IBY589835 ILN589835:ILU589835 IVJ589835:IVQ589835 JFF589835:JFM589835 JPB589835:JPI589835 JYX589835:JZE589835 KIT589835:KJA589835 KSP589835:KSW589835 LCL589835:LCS589835 LMH589835:LMO589835 LWD589835:LWK589835 MFZ589835:MGG589835 MPV589835:MQC589835 MZR589835:MZY589835 NJN589835:NJU589835 NTJ589835:NTQ589835 ODF589835:ODM589835 ONB589835:ONI589835 OWX589835:OXE589835 PGT589835:PHA589835 PQP589835:PQW589835 QAL589835:QAS589835 QKH589835:QKO589835 QUD589835:QUK589835 RDZ589835:REG589835 RNV589835:ROC589835 RXR589835:RXY589835 SHN589835:SHU589835 SRJ589835:SRQ589835 TBF589835:TBM589835 TLB589835:TLI589835 TUX589835:TVE589835 UET589835:UFA589835 UOP589835:UOW589835 UYL589835:UYS589835 VIH589835:VIO589835 VSD589835:VSK589835 WBZ589835:WCG589835 WLV589835:WMC589835 WVR589835:WVY589835 JF655371:JM655371 TB655371:TI655371 ACX655371:ADE655371 AMT655371:ANA655371 AWP655371:AWW655371 BGL655371:BGS655371 BQH655371:BQO655371 CAD655371:CAK655371 CJZ655371:CKG655371 CTV655371:CUC655371 DDR655371:DDY655371 DNN655371:DNU655371 DXJ655371:DXQ655371 EHF655371:EHM655371 ERB655371:ERI655371 FAX655371:FBE655371 FKT655371:FLA655371 FUP655371:FUW655371 GEL655371:GES655371 GOH655371:GOO655371 GYD655371:GYK655371 HHZ655371:HIG655371 HRV655371:HSC655371 IBR655371:IBY655371 ILN655371:ILU655371 IVJ655371:IVQ655371 JFF655371:JFM655371 JPB655371:JPI655371 JYX655371:JZE655371 KIT655371:KJA655371 KSP655371:KSW655371 LCL655371:LCS655371 LMH655371:LMO655371 LWD655371:LWK655371 MFZ655371:MGG655371 MPV655371:MQC655371 MZR655371:MZY655371 NJN655371:NJU655371 NTJ655371:NTQ655371 ODF655371:ODM655371 ONB655371:ONI655371 OWX655371:OXE655371 PGT655371:PHA655371 PQP655371:PQW655371 QAL655371:QAS655371 QKH655371:QKO655371 QUD655371:QUK655371 RDZ655371:REG655371 RNV655371:ROC655371 RXR655371:RXY655371 SHN655371:SHU655371 SRJ655371:SRQ655371 TBF655371:TBM655371 TLB655371:TLI655371 TUX655371:TVE655371 UET655371:UFA655371 UOP655371:UOW655371 UYL655371:UYS655371 VIH655371:VIO655371 VSD655371:VSK655371 WBZ655371:WCG655371 WLV655371:WMC655371 WVR655371:WVY655371 JF720907:JM720907 TB720907:TI720907 ACX720907:ADE720907 AMT720907:ANA720907 AWP720907:AWW720907 BGL720907:BGS720907 BQH720907:BQO720907 CAD720907:CAK720907 CJZ720907:CKG720907 CTV720907:CUC720907 DDR720907:DDY720907 DNN720907:DNU720907 DXJ720907:DXQ720907 EHF720907:EHM720907 ERB720907:ERI720907 FAX720907:FBE720907 FKT720907:FLA720907 FUP720907:FUW720907 GEL720907:GES720907 GOH720907:GOO720907 GYD720907:GYK720907 HHZ720907:HIG720907 HRV720907:HSC720907 IBR720907:IBY720907 ILN720907:ILU720907 IVJ720907:IVQ720907 JFF720907:JFM720907 JPB720907:JPI720907 JYX720907:JZE720907 KIT720907:KJA720907 KSP720907:KSW720907 LCL720907:LCS720907 LMH720907:LMO720907 LWD720907:LWK720907 MFZ720907:MGG720907 MPV720907:MQC720907 MZR720907:MZY720907 NJN720907:NJU720907 NTJ720907:NTQ720907 ODF720907:ODM720907 ONB720907:ONI720907 OWX720907:OXE720907 PGT720907:PHA720907 PQP720907:PQW720907 QAL720907:QAS720907 QKH720907:QKO720907 QUD720907:QUK720907 RDZ720907:REG720907 RNV720907:ROC720907 RXR720907:RXY720907 SHN720907:SHU720907 SRJ720907:SRQ720907 TBF720907:TBM720907 TLB720907:TLI720907 TUX720907:TVE720907 UET720907:UFA720907 UOP720907:UOW720907 UYL720907:UYS720907 VIH720907:VIO720907 VSD720907:VSK720907 WBZ720907:WCG720907 WLV720907:WMC720907 WVR720907:WVY720907 JF786443:JM786443 TB786443:TI786443 ACX786443:ADE786443 AMT786443:ANA786443 AWP786443:AWW786443 BGL786443:BGS786443 BQH786443:BQO786443 CAD786443:CAK786443 CJZ786443:CKG786443 CTV786443:CUC786443 DDR786443:DDY786443 DNN786443:DNU786443 DXJ786443:DXQ786443 EHF786443:EHM786443 ERB786443:ERI786443 FAX786443:FBE786443 FKT786443:FLA786443 FUP786443:FUW786443 GEL786443:GES786443 GOH786443:GOO786443 GYD786443:GYK786443 HHZ786443:HIG786443 HRV786443:HSC786443 IBR786443:IBY786443 ILN786443:ILU786443 IVJ786443:IVQ786443 JFF786443:JFM786443 JPB786443:JPI786443 JYX786443:JZE786443 KIT786443:KJA786443 KSP786443:KSW786443 LCL786443:LCS786443 LMH786443:LMO786443 LWD786443:LWK786443 MFZ786443:MGG786443 MPV786443:MQC786443 MZR786443:MZY786443 NJN786443:NJU786443 NTJ786443:NTQ786443 ODF786443:ODM786443 ONB786443:ONI786443 OWX786443:OXE786443 PGT786443:PHA786443 PQP786443:PQW786443 QAL786443:QAS786443 QKH786443:QKO786443 QUD786443:QUK786443 RDZ786443:REG786443 RNV786443:ROC786443 RXR786443:RXY786443 SHN786443:SHU786443 SRJ786443:SRQ786443 TBF786443:TBM786443 TLB786443:TLI786443 TUX786443:TVE786443 UET786443:UFA786443 UOP786443:UOW786443 UYL786443:UYS786443 VIH786443:VIO786443 VSD786443:VSK786443 WBZ786443:WCG786443 WLV786443:WMC786443 WVR786443:WVY786443 JF851979:JM851979 TB851979:TI851979 ACX851979:ADE851979 AMT851979:ANA851979 AWP851979:AWW851979 BGL851979:BGS851979 BQH851979:BQO851979 CAD851979:CAK851979 CJZ851979:CKG851979 CTV851979:CUC851979 DDR851979:DDY851979 DNN851979:DNU851979 DXJ851979:DXQ851979 EHF851979:EHM851979 ERB851979:ERI851979 FAX851979:FBE851979 FKT851979:FLA851979 FUP851979:FUW851979 GEL851979:GES851979 GOH851979:GOO851979 GYD851979:GYK851979 HHZ851979:HIG851979 HRV851979:HSC851979 IBR851979:IBY851979 ILN851979:ILU851979 IVJ851979:IVQ851979 JFF851979:JFM851979 JPB851979:JPI851979 JYX851979:JZE851979 KIT851979:KJA851979 KSP851979:KSW851979 LCL851979:LCS851979 LMH851979:LMO851979 LWD851979:LWK851979 MFZ851979:MGG851979 MPV851979:MQC851979 MZR851979:MZY851979 NJN851979:NJU851979 NTJ851979:NTQ851979 ODF851979:ODM851979 ONB851979:ONI851979 OWX851979:OXE851979 PGT851979:PHA851979 PQP851979:PQW851979 QAL851979:QAS851979 QKH851979:QKO851979 QUD851979:QUK851979 RDZ851979:REG851979 RNV851979:ROC851979 RXR851979:RXY851979 SHN851979:SHU851979 SRJ851979:SRQ851979 TBF851979:TBM851979 TLB851979:TLI851979 TUX851979:TVE851979 UET851979:UFA851979 UOP851979:UOW851979 UYL851979:UYS851979 VIH851979:VIO851979 VSD851979:VSK851979 WBZ851979:WCG851979 WLV851979:WMC851979 WVR851979:WVY851979 JF917515:JM917515 TB917515:TI917515 ACX917515:ADE917515 AMT917515:ANA917515 AWP917515:AWW917515 BGL917515:BGS917515 BQH917515:BQO917515 CAD917515:CAK917515 CJZ917515:CKG917515 CTV917515:CUC917515 DDR917515:DDY917515 DNN917515:DNU917515 DXJ917515:DXQ917515 EHF917515:EHM917515 ERB917515:ERI917515 FAX917515:FBE917515 FKT917515:FLA917515 FUP917515:FUW917515 GEL917515:GES917515 GOH917515:GOO917515 GYD917515:GYK917515 HHZ917515:HIG917515 HRV917515:HSC917515 IBR917515:IBY917515 ILN917515:ILU917515 IVJ917515:IVQ917515 JFF917515:JFM917515 JPB917515:JPI917515 JYX917515:JZE917515 KIT917515:KJA917515 KSP917515:KSW917515 LCL917515:LCS917515 LMH917515:LMO917515 LWD917515:LWK917515 MFZ917515:MGG917515 MPV917515:MQC917515 MZR917515:MZY917515 NJN917515:NJU917515 NTJ917515:NTQ917515 ODF917515:ODM917515 ONB917515:ONI917515 OWX917515:OXE917515 PGT917515:PHA917515 PQP917515:PQW917515 QAL917515:QAS917515 QKH917515:QKO917515 QUD917515:QUK917515 RDZ917515:REG917515 RNV917515:ROC917515 RXR917515:RXY917515 SHN917515:SHU917515 SRJ917515:SRQ917515 TBF917515:TBM917515 TLB917515:TLI917515 TUX917515:TVE917515 UET917515:UFA917515 UOP917515:UOW917515 UYL917515:UYS917515 VIH917515:VIO917515 VSD917515:VSK917515 WBZ917515:WCG917515 WLV917515:WMC917515 WVR917515:WVY917515 WVR983051:WVY983051 JF983051:JM983051 TB983051:TI983051 ACX983051:ADE983051 AMT983051:ANA983051 AWP983051:AWW983051 BGL983051:BGS983051 BQH983051:BQO983051 CAD983051:CAK983051 CJZ983051:CKG983051 CTV983051:CUC983051 DDR983051:DDY983051 DNN983051:DNU983051 DXJ983051:DXQ983051 EHF983051:EHM983051 ERB983051:ERI983051 FAX983051:FBE983051 FKT983051:FLA983051 FUP983051:FUW983051 GEL983051:GES983051 GOH983051:GOO983051 GYD983051:GYK983051 HHZ983051:HIG983051 HRV983051:HSC983051 IBR983051:IBY983051 ILN983051:ILU983051 IVJ983051:IVQ983051 JFF983051:JFM983051 JPB983051:JPI983051 JYX983051:JZE983051 KIT983051:KJA983051 KSP983051:KSW983051 LCL983051:LCS983051 LMH983051:LMO983051 LWD983051:LWK983051 MFZ983051:MGG983051 MPV983051:MQC983051 MZR983051:MZY983051 NJN983051:NJU983051 NTJ983051:NTQ983051 ODF983051:ODM983051 ONB983051:ONI983051 OWX983051:OXE983051 PGT983051:PHA983051 PQP983051:PQW983051 QAL983051:QAS983051 QKH983051:QKO983051 QUD983051:QUK983051 RDZ983051:REG983051 RNV983051:ROC983051 RXR983051:RXY983051 SHN983051:SHU983051 SRJ983051:SRQ983051 TBF983051:TBM983051 TLB983051:TLI983051 TUX983051:TVE983051 UET983051:UFA983051 UOP983051:UOW983051 UYL983051:UYS983051 VIH983051:VIO983051 VSD983051:VSK983051 WBZ983051:WCG983051 WLV983051:WMC983051 G983051:Q983051 G917515:Q917515 G851979:Q851979 G786443:Q786443 G720907:Q720907 G655371:Q655371 G589835:Q589835 G524299:Q524299 G458763:Q458763 G393227:Q393227 G327691:Q327691 G262155:Q262155 G196619:Q196619 G131083:Q131083 G65547:Q65547 G11:Q11 G983129:Q983129 G917593:Q917593 G852057:Q852057 G786521:Q786521 G720985:Q720985 G655449:Q655449 G589913:Q589913 G524377:Q524377 G458841:Q458841 G393305:Q393305 G327769:Q327769 G262233:Q262233 G196697:Q196697 G131161:Q131161 G65625:Q65625 G89:Q89 G983345:Q983345 G917809:Q917809 G852273:Q852273 G786737:Q786737 G721201:Q721201 G655665:Q655665 G590129:Q590129 G524593:Q524593 G459057:Q459057 G393521:Q393521 G327985:Q327985 G262449:Q262449 G196913:Q196913 G131377:Q131377 G65841:Q65841 G305:Q305" xr:uid="{00000000-0002-0000-0300-000000000000}">
      <formula1>"駅施設,地上建物"</formula1>
    </dataValidation>
    <dataValidation type="list" allowBlank="1" showInputMessage="1" showErrorMessage="1" sqref="JF85:JM85 TB85:TI85 ACX85:ADE85 AMT85:ANA85 AWP85:AWW85 BGL85:BGS85 BQH85:BQO85 CAD85:CAK85 CJZ85:CKG85 CTV85:CUC85 DDR85:DDY85 DNN85:DNU85 DXJ85:DXQ85 EHF85:EHM85 ERB85:ERI85 FAX85:FBE85 FKT85:FLA85 FUP85:FUW85 GEL85:GES85 GOH85:GOO85 GYD85:GYK85 HHZ85:HIG85 HRV85:HSC85 IBR85:IBY85 ILN85:ILU85 IVJ85:IVQ85 JFF85:JFM85 JPB85:JPI85 JYX85:JZE85 KIT85:KJA85 KSP85:KSW85 LCL85:LCS85 LMH85:LMO85 LWD85:LWK85 MFZ85:MGG85 MPV85:MQC85 MZR85:MZY85 NJN85:NJU85 NTJ85:NTQ85 ODF85:ODM85 ONB85:ONI85 OWX85:OXE85 PGT85:PHA85 PQP85:PQW85 QAL85:QAS85 QKH85:QKO85 QUD85:QUK85 RDZ85:REG85 RNV85:ROC85 RXR85:RXY85 SHN85:SHU85 SRJ85:SRQ85 TBF85:TBM85 TLB85:TLI85 TUX85:TVE85 UET85:UFA85 UOP85:UOW85 UYL85:UYS85 VIH85:VIO85 VSD85:VSK85 WBZ85:WCG85 WLV85:WMC85 WVR85:WVY85 JF65621:JM65621 TB65621:TI65621 ACX65621:ADE65621 AMT65621:ANA65621 AWP65621:AWW65621 BGL65621:BGS65621 BQH65621:BQO65621 CAD65621:CAK65621 CJZ65621:CKG65621 CTV65621:CUC65621 DDR65621:DDY65621 DNN65621:DNU65621 DXJ65621:DXQ65621 EHF65621:EHM65621 ERB65621:ERI65621 FAX65621:FBE65621 FKT65621:FLA65621 FUP65621:FUW65621 GEL65621:GES65621 GOH65621:GOO65621 GYD65621:GYK65621 HHZ65621:HIG65621 HRV65621:HSC65621 IBR65621:IBY65621 ILN65621:ILU65621 IVJ65621:IVQ65621 JFF65621:JFM65621 JPB65621:JPI65621 JYX65621:JZE65621 KIT65621:KJA65621 KSP65621:KSW65621 LCL65621:LCS65621 LMH65621:LMO65621 LWD65621:LWK65621 MFZ65621:MGG65621 MPV65621:MQC65621 MZR65621:MZY65621 NJN65621:NJU65621 NTJ65621:NTQ65621 ODF65621:ODM65621 ONB65621:ONI65621 OWX65621:OXE65621 PGT65621:PHA65621 PQP65621:PQW65621 QAL65621:QAS65621 QKH65621:QKO65621 QUD65621:QUK65621 RDZ65621:REG65621 RNV65621:ROC65621 RXR65621:RXY65621 SHN65621:SHU65621 SRJ65621:SRQ65621 TBF65621:TBM65621 TLB65621:TLI65621 TUX65621:TVE65621 UET65621:UFA65621 UOP65621:UOW65621 UYL65621:UYS65621 VIH65621:VIO65621 VSD65621:VSK65621 WBZ65621:WCG65621 WLV65621:WMC65621 WVR65621:WVY65621 JF131157:JM131157 TB131157:TI131157 ACX131157:ADE131157 AMT131157:ANA131157 AWP131157:AWW131157 BGL131157:BGS131157 BQH131157:BQO131157 CAD131157:CAK131157 CJZ131157:CKG131157 CTV131157:CUC131157 DDR131157:DDY131157 DNN131157:DNU131157 DXJ131157:DXQ131157 EHF131157:EHM131157 ERB131157:ERI131157 FAX131157:FBE131157 FKT131157:FLA131157 FUP131157:FUW131157 GEL131157:GES131157 GOH131157:GOO131157 GYD131157:GYK131157 HHZ131157:HIG131157 HRV131157:HSC131157 IBR131157:IBY131157 ILN131157:ILU131157 IVJ131157:IVQ131157 JFF131157:JFM131157 JPB131157:JPI131157 JYX131157:JZE131157 KIT131157:KJA131157 KSP131157:KSW131157 LCL131157:LCS131157 LMH131157:LMO131157 LWD131157:LWK131157 MFZ131157:MGG131157 MPV131157:MQC131157 MZR131157:MZY131157 NJN131157:NJU131157 NTJ131157:NTQ131157 ODF131157:ODM131157 ONB131157:ONI131157 OWX131157:OXE131157 PGT131157:PHA131157 PQP131157:PQW131157 QAL131157:QAS131157 QKH131157:QKO131157 QUD131157:QUK131157 RDZ131157:REG131157 RNV131157:ROC131157 RXR131157:RXY131157 SHN131157:SHU131157 SRJ131157:SRQ131157 TBF131157:TBM131157 TLB131157:TLI131157 TUX131157:TVE131157 UET131157:UFA131157 UOP131157:UOW131157 UYL131157:UYS131157 VIH131157:VIO131157 VSD131157:VSK131157 WBZ131157:WCG131157 WLV131157:WMC131157 WVR131157:WVY131157 JF196693:JM196693 TB196693:TI196693 ACX196693:ADE196693 AMT196693:ANA196693 AWP196693:AWW196693 BGL196693:BGS196693 BQH196693:BQO196693 CAD196693:CAK196693 CJZ196693:CKG196693 CTV196693:CUC196693 DDR196693:DDY196693 DNN196693:DNU196693 DXJ196693:DXQ196693 EHF196693:EHM196693 ERB196693:ERI196693 FAX196693:FBE196693 FKT196693:FLA196693 FUP196693:FUW196693 GEL196693:GES196693 GOH196693:GOO196693 GYD196693:GYK196693 HHZ196693:HIG196693 HRV196693:HSC196693 IBR196693:IBY196693 ILN196693:ILU196693 IVJ196693:IVQ196693 JFF196693:JFM196693 JPB196693:JPI196693 JYX196693:JZE196693 KIT196693:KJA196693 KSP196693:KSW196693 LCL196693:LCS196693 LMH196693:LMO196693 LWD196693:LWK196693 MFZ196693:MGG196693 MPV196693:MQC196693 MZR196693:MZY196693 NJN196693:NJU196693 NTJ196693:NTQ196693 ODF196693:ODM196693 ONB196693:ONI196693 OWX196693:OXE196693 PGT196693:PHA196693 PQP196693:PQW196693 QAL196693:QAS196693 QKH196693:QKO196693 QUD196693:QUK196693 RDZ196693:REG196693 RNV196693:ROC196693 RXR196693:RXY196693 SHN196693:SHU196693 SRJ196693:SRQ196693 TBF196693:TBM196693 TLB196693:TLI196693 TUX196693:TVE196693 UET196693:UFA196693 UOP196693:UOW196693 UYL196693:UYS196693 VIH196693:VIO196693 VSD196693:VSK196693 WBZ196693:WCG196693 WLV196693:WMC196693 WVR196693:WVY196693 JF262229:JM262229 TB262229:TI262229 ACX262229:ADE262229 AMT262229:ANA262229 AWP262229:AWW262229 BGL262229:BGS262229 BQH262229:BQO262229 CAD262229:CAK262229 CJZ262229:CKG262229 CTV262229:CUC262229 DDR262229:DDY262229 DNN262229:DNU262229 DXJ262229:DXQ262229 EHF262229:EHM262229 ERB262229:ERI262229 FAX262229:FBE262229 FKT262229:FLA262229 FUP262229:FUW262229 GEL262229:GES262229 GOH262229:GOO262229 GYD262229:GYK262229 HHZ262229:HIG262229 HRV262229:HSC262229 IBR262229:IBY262229 ILN262229:ILU262229 IVJ262229:IVQ262229 JFF262229:JFM262229 JPB262229:JPI262229 JYX262229:JZE262229 KIT262229:KJA262229 KSP262229:KSW262229 LCL262229:LCS262229 LMH262229:LMO262229 LWD262229:LWK262229 MFZ262229:MGG262229 MPV262229:MQC262229 MZR262229:MZY262229 NJN262229:NJU262229 NTJ262229:NTQ262229 ODF262229:ODM262229 ONB262229:ONI262229 OWX262229:OXE262229 PGT262229:PHA262229 PQP262229:PQW262229 QAL262229:QAS262229 QKH262229:QKO262229 QUD262229:QUK262229 RDZ262229:REG262229 RNV262229:ROC262229 RXR262229:RXY262229 SHN262229:SHU262229 SRJ262229:SRQ262229 TBF262229:TBM262229 TLB262229:TLI262229 TUX262229:TVE262229 UET262229:UFA262229 UOP262229:UOW262229 UYL262229:UYS262229 VIH262229:VIO262229 VSD262229:VSK262229 WBZ262229:WCG262229 WLV262229:WMC262229 WVR262229:WVY262229 JF327765:JM327765 TB327765:TI327765 ACX327765:ADE327765 AMT327765:ANA327765 AWP327765:AWW327765 BGL327765:BGS327765 BQH327765:BQO327765 CAD327765:CAK327765 CJZ327765:CKG327765 CTV327765:CUC327765 DDR327765:DDY327765 DNN327765:DNU327765 DXJ327765:DXQ327765 EHF327765:EHM327765 ERB327765:ERI327765 FAX327765:FBE327765 FKT327765:FLA327765 FUP327765:FUW327765 GEL327765:GES327765 GOH327765:GOO327765 GYD327765:GYK327765 HHZ327765:HIG327765 HRV327765:HSC327765 IBR327765:IBY327765 ILN327765:ILU327765 IVJ327765:IVQ327765 JFF327765:JFM327765 JPB327765:JPI327765 JYX327765:JZE327765 KIT327765:KJA327765 KSP327765:KSW327765 LCL327765:LCS327765 LMH327765:LMO327765 LWD327765:LWK327765 MFZ327765:MGG327765 MPV327765:MQC327765 MZR327765:MZY327765 NJN327765:NJU327765 NTJ327765:NTQ327765 ODF327765:ODM327765 ONB327765:ONI327765 OWX327765:OXE327765 PGT327765:PHA327765 PQP327765:PQW327765 QAL327765:QAS327765 QKH327765:QKO327765 QUD327765:QUK327765 RDZ327765:REG327765 RNV327765:ROC327765 RXR327765:RXY327765 SHN327765:SHU327765 SRJ327765:SRQ327765 TBF327765:TBM327765 TLB327765:TLI327765 TUX327765:TVE327765 UET327765:UFA327765 UOP327765:UOW327765 UYL327765:UYS327765 VIH327765:VIO327765 VSD327765:VSK327765 WBZ327765:WCG327765 WLV327765:WMC327765 WVR327765:WVY327765 JF393301:JM393301 TB393301:TI393301 ACX393301:ADE393301 AMT393301:ANA393301 AWP393301:AWW393301 BGL393301:BGS393301 BQH393301:BQO393301 CAD393301:CAK393301 CJZ393301:CKG393301 CTV393301:CUC393301 DDR393301:DDY393301 DNN393301:DNU393301 DXJ393301:DXQ393301 EHF393301:EHM393301 ERB393301:ERI393301 FAX393301:FBE393301 FKT393301:FLA393301 FUP393301:FUW393301 GEL393301:GES393301 GOH393301:GOO393301 GYD393301:GYK393301 HHZ393301:HIG393301 HRV393301:HSC393301 IBR393301:IBY393301 ILN393301:ILU393301 IVJ393301:IVQ393301 JFF393301:JFM393301 JPB393301:JPI393301 JYX393301:JZE393301 KIT393301:KJA393301 KSP393301:KSW393301 LCL393301:LCS393301 LMH393301:LMO393301 LWD393301:LWK393301 MFZ393301:MGG393301 MPV393301:MQC393301 MZR393301:MZY393301 NJN393301:NJU393301 NTJ393301:NTQ393301 ODF393301:ODM393301 ONB393301:ONI393301 OWX393301:OXE393301 PGT393301:PHA393301 PQP393301:PQW393301 QAL393301:QAS393301 QKH393301:QKO393301 QUD393301:QUK393301 RDZ393301:REG393301 RNV393301:ROC393301 RXR393301:RXY393301 SHN393301:SHU393301 SRJ393301:SRQ393301 TBF393301:TBM393301 TLB393301:TLI393301 TUX393301:TVE393301 UET393301:UFA393301 UOP393301:UOW393301 UYL393301:UYS393301 VIH393301:VIO393301 VSD393301:VSK393301 WBZ393301:WCG393301 WLV393301:WMC393301 WVR393301:WVY393301 JF458837:JM458837 TB458837:TI458837 ACX458837:ADE458837 AMT458837:ANA458837 AWP458837:AWW458837 BGL458837:BGS458837 BQH458837:BQO458837 CAD458837:CAK458837 CJZ458837:CKG458837 CTV458837:CUC458837 DDR458837:DDY458837 DNN458837:DNU458837 DXJ458837:DXQ458837 EHF458837:EHM458837 ERB458837:ERI458837 FAX458837:FBE458837 FKT458837:FLA458837 FUP458837:FUW458837 GEL458837:GES458837 GOH458837:GOO458837 GYD458837:GYK458837 HHZ458837:HIG458837 HRV458837:HSC458837 IBR458837:IBY458837 ILN458837:ILU458837 IVJ458837:IVQ458837 JFF458837:JFM458837 JPB458837:JPI458837 JYX458837:JZE458837 KIT458837:KJA458837 KSP458837:KSW458837 LCL458837:LCS458837 LMH458837:LMO458837 LWD458837:LWK458837 MFZ458837:MGG458837 MPV458837:MQC458837 MZR458837:MZY458837 NJN458837:NJU458837 NTJ458837:NTQ458837 ODF458837:ODM458837 ONB458837:ONI458837 OWX458837:OXE458837 PGT458837:PHA458837 PQP458837:PQW458837 QAL458837:QAS458837 QKH458837:QKO458837 QUD458837:QUK458837 RDZ458837:REG458837 RNV458837:ROC458837 RXR458837:RXY458837 SHN458837:SHU458837 SRJ458837:SRQ458837 TBF458837:TBM458837 TLB458837:TLI458837 TUX458837:TVE458837 UET458837:UFA458837 UOP458837:UOW458837 UYL458837:UYS458837 VIH458837:VIO458837 VSD458837:VSK458837 WBZ458837:WCG458837 WLV458837:WMC458837 WVR458837:WVY458837 JF524373:JM524373 TB524373:TI524373 ACX524373:ADE524373 AMT524373:ANA524373 AWP524373:AWW524373 BGL524373:BGS524373 BQH524373:BQO524373 CAD524373:CAK524373 CJZ524373:CKG524373 CTV524373:CUC524373 DDR524373:DDY524373 DNN524373:DNU524373 DXJ524373:DXQ524373 EHF524373:EHM524373 ERB524373:ERI524373 FAX524373:FBE524373 FKT524373:FLA524373 FUP524373:FUW524373 GEL524373:GES524373 GOH524373:GOO524373 GYD524373:GYK524373 HHZ524373:HIG524373 HRV524373:HSC524373 IBR524373:IBY524373 ILN524373:ILU524373 IVJ524373:IVQ524373 JFF524373:JFM524373 JPB524373:JPI524373 JYX524373:JZE524373 KIT524373:KJA524373 KSP524373:KSW524373 LCL524373:LCS524373 LMH524373:LMO524373 LWD524373:LWK524373 MFZ524373:MGG524373 MPV524373:MQC524373 MZR524373:MZY524373 NJN524373:NJU524373 NTJ524373:NTQ524373 ODF524373:ODM524373 ONB524373:ONI524373 OWX524373:OXE524373 PGT524373:PHA524373 PQP524373:PQW524373 QAL524373:QAS524373 QKH524373:QKO524373 QUD524373:QUK524373 RDZ524373:REG524373 RNV524373:ROC524373 RXR524373:RXY524373 SHN524373:SHU524373 SRJ524373:SRQ524373 TBF524373:TBM524373 TLB524373:TLI524373 TUX524373:TVE524373 UET524373:UFA524373 UOP524373:UOW524373 UYL524373:UYS524373 VIH524373:VIO524373 VSD524373:VSK524373 WBZ524373:WCG524373 WLV524373:WMC524373 WVR524373:WVY524373 JF589909:JM589909 TB589909:TI589909 ACX589909:ADE589909 AMT589909:ANA589909 AWP589909:AWW589909 BGL589909:BGS589909 BQH589909:BQO589909 CAD589909:CAK589909 CJZ589909:CKG589909 CTV589909:CUC589909 DDR589909:DDY589909 DNN589909:DNU589909 DXJ589909:DXQ589909 EHF589909:EHM589909 ERB589909:ERI589909 FAX589909:FBE589909 FKT589909:FLA589909 FUP589909:FUW589909 GEL589909:GES589909 GOH589909:GOO589909 GYD589909:GYK589909 HHZ589909:HIG589909 HRV589909:HSC589909 IBR589909:IBY589909 ILN589909:ILU589909 IVJ589909:IVQ589909 JFF589909:JFM589909 JPB589909:JPI589909 JYX589909:JZE589909 KIT589909:KJA589909 KSP589909:KSW589909 LCL589909:LCS589909 LMH589909:LMO589909 LWD589909:LWK589909 MFZ589909:MGG589909 MPV589909:MQC589909 MZR589909:MZY589909 NJN589909:NJU589909 NTJ589909:NTQ589909 ODF589909:ODM589909 ONB589909:ONI589909 OWX589909:OXE589909 PGT589909:PHA589909 PQP589909:PQW589909 QAL589909:QAS589909 QKH589909:QKO589909 QUD589909:QUK589909 RDZ589909:REG589909 RNV589909:ROC589909 RXR589909:RXY589909 SHN589909:SHU589909 SRJ589909:SRQ589909 TBF589909:TBM589909 TLB589909:TLI589909 TUX589909:TVE589909 UET589909:UFA589909 UOP589909:UOW589909 UYL589909:UYS589909 VIH589909:VIO589909 VSD589909:VSK589909 WBZ589909:WCG589909 WLV589909:WMC589909 WVR589909:WVY589909 JF655445:JM655445 TB655445:TI655445 ACX655445:ADE655445 AMT655445:ANA655445 AWP655445:AWW655445 BGL655445:BGS655445 BQH655445:BQO655445 CAD655445:CAK655445 CJZ655445:CKG655445 CTV655445:CUC655445 DDR655445:DDY655445 DNN655445:DNU655445 DXJ655445:DXQ655445 EHF655445:EHM655445 ERB655445:ERI655445 FAX655445:FBE655445 FKT655445:FLA655445 FUP655445:FUW655445 GEL655445:GES655445 GOH655445:GOO655445 GYD655445:GYK655445 HHZ655445:HIG655445 HRV655445:HSC655445 IBR655445:IBY655445 ILN655445:ILU655445 IVJ655445:IVQ655445 JFF655445:JFM655445 JPB655445:JPI655445 JYX655445:JZE655445 KIT655445:KJA655445 KSP655445:KSW655445 LCL655445:LCS655445 LMH655445:LMO655445 LWD655445:LWK655445 MFZ655445:MGG655445 MPV655445:MQC655445 MZR655445:MZY655445 NJN655445:NJU655445 NTJ655445:NTQ655445 ODF655445:ODM655445 ONB655445:ONI655445 OWX655445:OXE655445 PGT655445:PHA655445 PQP655445:PQW655445 QAL655445:QAS655445 QKH655445:QKO655445 QUD655445:QUK655445 RDZ655445:REG655445 RNV655445:ROC655445 RXR655445:RXY655445 SHN655445:SHU655445 SRJ655445:SRQ655445 TBF655445:TBM655445 TLB655445:TLI655445 TUX655445:TVE655445 UET655445:UFA655445 UOP655445:UOW655445 UYL655445:UYS655445 VIH655445:VIO655445 VSD655445:VSK655445 WBZ655445:WCG655445 WLV655445:WMC655445 WVR655445:WVY655445 JF720981:JM720981 TB720981:TI720981 ACX720981:ADE720981 AMT720981:ANA720981 AWP720981:AWW720981 BGL720981:BGS720981 BQH720981:BQO720981 CAD720981:CAK720981 CJZ720981:CKG720981 CTV720981:CUC720981 DDR720981:DDY720981 DNN720981:DNU720981 DXJ720981:DXQ720981 EHF720981:EHM720981 ERB720981:ERI720981 FAX720981:FBE720981 FKT720981:FLA720981 FUP720981:FUW720981 GEL720981:GES720981 GOH720981:GOO720981 GYD720981:GYK720981 HHZ720981:HIG720981 HRV720981:HSC720981 IBR720981:IBY720981 ILN720981:ILU720981 IVJ720981:IVQ720981 JFF720981:JFM720981 JPB720981:JPI720981 JYX720981:JZE720981 KIT720981:KJA720981 KSP720981:KSW720981 LCL720981:LCS720981 LMH720981:LMO720981 LWD720981:LWK720981 MFZ720981:MGG720981 MPV720981:MQC720981 MZR720981:MZY720981 NJN720981:NJU720981 NTJ720981:NTQ720981 ODF720981:ODM720981 ONB720981:ONI720981 OWX720981:OXE720981 PGT720981:PHA720981 PQP720981:PQW720981 QAL720981:QAS720981 QKH720981:QKO720981 QUD720981:QUK720981 RDZ720981:REG720981 RNV720981:ROC720981 RXR720981:RXY720981 SHN720981:SHU720981 SRJ720981:SRQ720981 TBF720981:TBM720981 TLB720981:TLI720981 TUX720981:TVE720981 UET720981:UFA720981 UOP720981:UOW720981 UYL720981:UYS720981 VIH720981:VIO720981 VSD720981:VSK720981 WBZ720981:WCG720981 WLV720981:WMC720981 WVR720981:WVY720981 JF786517:JM786517 TB786517:TI786517 ACX786517:ADE786517 AMT786517:ANA786517 AWP786517:AWW786517 BGL786517:BGS786517 BQH786517:BQO786517 CAD786517:CAK786517 CJZ786517:CKG786517 CTV786517:CUC786517 DDR786517:DDY786517 DNN786517:DNU786517 DXJ786517:DXQ786517 EHF786517:EHM786517 ERB786517:ERI786517 FAX786517:FBE786517 FKT786517:FLA786517 FUP786517:FUW786517 GEL786517:GES786517 GOH786517:GOO786517 GYD786517:GYK786517 HHZ786517:HIG786517 HRV786517:HSC786517 IBR786517:IBY786517 ILN786517:ILU786517 IVJ786517:IVQ786517 JFF786517:JFM786517 JPB786517:JPI786517 JYX786517:JZE786517 KIT786517:KJA786517 KSP786517:KSW786517 LCL786517:LCS786517 LMH786517:LMO786517 LWD786517:LWK786517 MFZ786517:MGG786517 MPV786517:MQC786517 MZR786517:MZY786517 NJN786517:NJU786517 NTJ786517:NTQ786517 ODF786517:ODM786517 ONB786517:ONI786517 OWX786517:OXE786517 PGT786517:PHA786517 PQP786517:PQW786517 QAL786517:QAS786517 QKH786517:QKO786517 QUD786517:QUK786517 RDZ786517:REG786517 RNV786517:ROC786517 RXR786517:RXY786517 SHN786517:SHU786517 SRJ786517:SRQ786517 TBF786517:TBM786517 TLB786517:TLI786517 TUX786517:TVE786517 UET786517:UFA786517 UOP786517:UOW786517 UYL786517:UYS786517 VIH786517:VIO786517 VSD786517:VSK786517 WBZ786517:WCG786517 WLV786517:WMC786517 WVR786517:WVY786517 JF852053:JM852053 TB852053:TI852053 ACX852053:ADE852053 AMT852053:ANA852053 AWP852053:AWW852053 BGL852053:BGS852053 BQH852053:BQO852053 CAD852053:CAK852053 CJZ852053:CKG852053 CTV852053:CUC852053 DDR852053:DDY852053 DNN852053:DNU852053 DXJ852053:DXQ852053 EHF852053:EHM852053 ERB852053:ERI852053 FAX852053:FBE852053 FKT852053:FLA852053 FUP852053:FUW852053 GEL852053:GES852053 GOH852053:GOO852053 GYD852053:GYK852053 HHZ852053:HIG852053 HRV852053:HSC852053 IBR852053:IBY852053 ILN852053:ILU852053 IVJ852053:IVQ852053 JFF852053:JFM852053 JPB852053:JPI852053 JYX852053:JZE852053 KIT852053:KJA852053 KSP852053:KSW852053 LCL852053:LCS852053 LMH852053:LMO852053 LWD852053:LWK852053 MFZ852053:MGG852053 MPV852053:MQC852053 MZR852053:MZY852053 NJN852053:NJU852053 NTJ852053:NTQ852053 ODF852053:ODM852053 ONB852053:ONI852053 OWX852053:OXE852053 PGT852053:PHA852053 PQP852053:PQW852053 QAL852053:QAS852053 QKH852053:QKO852053 QUD852053:QUK852053 RDZ852053:REG852053 RNV852053:ROC852053 RXR852053:RXY852053 SHN852053:SHU852053 SRJ852053:SRQ852053 TBF852053:TBM852053 TLB852053:TLI852053 TUX852053:TVE852053 UET852053:UFA852053 UOP852053:UOW852053 UYL852053:UYS852053 VIH852053:VIO852053 VSD852053:VSK852053 WBZ852053:WCG852053 WLV852053:WMC852053 WVR852053:WVY852053 JF917589:JM917589 TB917589:TI917589 ACX917589:ADE917589 AMT917589:ANA917589 AWP917589:AWW917589 BGL917589:BGS917589 BQH917589:BQO917589 CAD917589:CAK917589 CJZ917589:CKG917589 CTV917589:CUC917589 DDR917589:DDY917589 DNN917589:DNU917589 DXJ917589:DXQ917589 EHF917589:EHM917589 ERB917589:ERI917589 FAX917589:FBE917589 FKT917589:FLA917589 FUP917589:FUW917589 GEL917589:GES917589 GOH917589:GOO917589 GYD917589:GYK917589 HHZ917589:HIG917589 HRV917589:HSC917589 IBR917589:IBY917589 ILN917589:ILU917589 IVJ917589:IVQ917589 JFF917589:JFM917589 JPB917589:JPI917589 JYX917589:JZE917589 KIT917589:KJA917589 KSP917589:KSW917589 LCL917589:LCS917589 LMH917589:LMO917589 LWD917589:LWK917589 MFZ917589:MGG917589 MPV917589:MQC917589 MZR917589:MZY917589 NJN917589:NJU917589 NTJ917589:NTQ917589 ODF917589:ODM917589 ONB917589:ONI917589 OWX917589:OXE917589 PGT917589:PHA917589 PQP917589:PQW917589 QAL917589:QAS917589 QKH917589:QKO917589 QUD917589:QUK917589 RDZ917589:REG917589 RNV917589:ROC917589 RXR917589:RXY917589 SHN917589:SHU917589 SRJ917589:SRQ917589 TBF917589:TBM917589 TLB917589:TLI917589 TUX917589:TVE917589 UET917589:UFA917589 UOP917589:UOW917589 UYL917589:UYS917589 VIH917589:VIO917589 VSD917589:VSK917589 WBZ917589:WCG917589 WLV917589:WMC917589 WVR917589:WVY917589 JF983125:JM983125 TB983125:TI983125 ACX983125:ADE983125 AMT983125:ANA983125 AWP983125:AWW983125 BGL983125:BGS983125 BQH983125:BQO983125 CAD983125:CAK983125 CJZ983125:CKG983125 CTV983125:CUC983125 DDR983125:DDY983125 DNN983125:DNU983125 DXJ983125:DXQ983125 EHF983125:EHM983125 ERB983125:ERI983125 FAX983125:FBE983125 FKT983125:FLA983125 FUP983125:FUW983125 GEL983125:GES983125 GOH983125:GOO983125 GYD983125:GYK983125 HHZ983125:HIG983125 HRV983125:HSC983125 IBR983125:IBY983125 ILN983125:ILU983125 IVJ983125:IVQ983125 JFF983125:JFM983125 JPB983125:JPI983125 JYX983125:JZE983125 KIT983125:KJA983125 KSP983125:KSW983125 LCL983125:LCS983125 LMH983125:LMO983125 LWD983125:LWK983125 MFZ983125:MGG983125 MPV983125:MQC983125 MZR983125:MZY983125 NJN983125:NJU983125 NTJ983125:NTQ983125 ODF983125:ODM983125 ONB983125:ONI983125 OWX983125:OXE983125 PGT983125:PHA983125 PQP983125:PQW983125 QAL983125:QAS983125 QKH983125:QKO983125 QUD983125:QUK983125 RDZ983125:REG983125 RNV983125:ROC983125 RXR983125:RXY983125 SHN983125:SHU983125 SRJ983125:SRQ983125 TBF983125:TBM983125 TLB983125:TLI983125 TUX983125:TVE983125 UET983125:UFA983125 UOP983125:UOW983125 UYL983125:UYS983125 VIH983125:VIO983125 VSD983125:VSK983125 WBZ983125:WCG983125 WLV983125:WMC983125 WVR983125:WVY983125 JF9:JM9 TB9:TI9 ACX9:ADE9 AMT9:ANA9 AWP9:AWW9 BGL9:BGS9 BQH9:BQO9 CAD9:CAK9 CJZ9:CKG9 CTV9:CUC9 DDR9:DDY9 DNN9:DNU9 DXJ9:DXQ9 EHF9:EHM9 ERB9:ERI9 FAX9:FBE9 FKT9:FLA9 FUP9:FUW9 GEL9:GES9 GOH9:GOO9 GYD9:GYK9 HHZ9:HIG9 HRV9:HSC9 IBR9:IBY9 ILN9:ILU9 IVJ9:IVQ9 JFF9:JFM9 JPB9:JPI9 JYX9:JZE9 KIT9:KJA9 KSP9:KSW9 LCL9:LCS9 LMH9:LMO9 LWD9:LWK9 MFZ9:MGG9 MPV9:MQC9 MZR9:MZY9 NJN9:NJU9 NTJ9:NTQ9 ODF9:ODM9 ONB9:ONI9 OWX9:OXE9 PGT9:PHA9 PQP9:PQW9 QAL9:QAS9 QKH9:QKO9 QUD9:QUK9 RDZ9:REG9 RNV9:ROC9 RXR9:RXY9 SHN9:SHU9 SRJ9:SRQ9 TBF9:TBM9 TLB9:TLI9 TUX9:TVE9 UET9:UFA9 UOP9:UOW9 UYL9:UYS9 VIH9:VIO9 VSD9:VSK9 WBZ9:WCG9 WLV9:WMC9 WVR9:WVY9 JF65545:JM65545 TB65545:TI65545 ACX65545:ADE65545 AMT65545:ANA65545 AWP65545:AWW65545 BGL65545:BGS65545 BQH65545:BQO65545 CAD65545:CAK65545 CJZ65545:CKG65545 CTV65545:CUC65545 DDR65545:DDY65545 DNN65545:DNU65545 DXJ65545:DXQ65545 EHF65545:EHM65545 ERB65545:ERI65545 FAX65545:FBE65545 FKT65545:FLA65545 FUP65545:FUW65545 GEL65545:GES65545 GOH65545:GOO65545 GYD65545:GYK65545 HHZ65545:HIG65545 HRV65545:HSC65545 IBR65545:IBY65545 ILN65545:ILU65545 IVJ65545:IVQ65545 JFF65545:JFM65545 JPB65545:JPI65545 JYX65545:JZE65545 KIT65545:KJA65545 KSP65545:KSW65545 LCL65545:LCS65545 LMH65545:LMO65545 LWD65545:LWK65545 MFZ65545:MGG65545 MPV65545:MQC65545 MZR65545:MZY65545 NJN65545:NJU65545 NTJ65545:NTQ65545 ODF65545:ODM65545 ONB65545:ONI65545 OWX65545:OXE65545 PGT65545:PHA65545 PQP65545:PQW65545 QAL65545:QAS65545 QKH65545:QKO65545 QUD65545:QUK65545 RDZ65545:REG65545 RNV65545:ROC65545 RXR65545:RXY65545 SHN65545:SHU65545 SRJ65545:SRQ65545 TBF65545:TBM65545 TLB65545:TLI65545 TUX65545:TVE65545 UET65545:UFA65545 UOP65545:UOW65545 UYL65545:UYS65545 VIH65545:VIO65545 VSD65545:VSK65545 WBZ65545:WCG65545 WLV65545:WMC65545 WVR65545:WVY65545 JF131081:JM131081 TB131081:TI131081 ACX131081:ADE131081 AMT131081:ANA131081 AWP131081:AWW131081 BGL131081:BGS131081 BQH131081:BQO131081 CAD131081:CAK131081 CJZ131081:CKG131081 CTV131081:CUC131081 DDR131081:DDY131081 DNN131081:DNU131081 DXJ131081:DXQ131081 EHF131081:EHM131081 ERB131081:ERI131081 FAX131081:FBE131081 FKT131081:FLA131081 FUP131081:FUW131081 GEL131081:GES131081 GOH131081:GOO131081 GYD131081:GYK131081 HHZ131081:HIG131081 HRV131081:HSC131081 IBR131081:IBY131081 ILN131081:ILU131081 IVJ131081:IVQ131081 JFF131081:JFM131081 JPB131081:JPI131081 JYX131081:JZE131081 KIT131081:KJA131081 KSP131081:KSW131081 LCL131081:LCS131081 LMH131081:LMO131081 LWD131081:LWK131081 MFZ131081:MGG131081 MPV131081:MQC131081 MZR131081:MZY131081 NJN131081:NJU131081 NTJ131081:NTQ131081 ODF131081:ODM131081 ONB131081:ONI131081 OWX131081:OXE131081 PGT131081:PHA131081 PQP131081:PQW131081 QAL131081:QAS131081 QKH131081:QKO131081 QUD131081:QUK131081 RDZ131081:REG131081 RNV131081:ROC131081 RXR131081:RXY131081 SHN131081:SHU131081 SRJ131081:SRQ131081 TBF131081:TBM131081 TLB131081:TLI131081 TUX131081:TVE131081 UET131081:UFA131081 UOP131081:UOW131081 UYL131081:UYS131081 VIH131081:VIO131081 VSD131081:VSK131081 WBZ131081:WCG131081 WLV131081:WMC131081 WVR131081:WVY131081 JF196617:JM196617 TB196617:TI196617 ACX196617:ADE196617 AMT196617:ANA196617 AWP196617:AWW196617 BGL196617:BGS196617 BQH196617:BQO196617 CAD196617:CAK196617 CJZ196617:CKG196617 CTV196617:CUC196617 DDR196617:DDY196617 DNN196617:DNU196617 DXJ196617:DXQ196617 EHF196617:EHM196617 ERB196617:ERI196617 FAX196617:FBE196617 FKT196617:FLA196617 FUP196617:FUW196617 GEL196617:GES196617 GOH196617:GOO196617 GYD196617:GYK196617 HHZ196617:HIG196617 HRV196617:HSC196617 IBR196617:IBY196617 ILN196617:ILU196617 IVJ196617:IVQ196617 JFF196617:JFM196617 JPB196617:JPI196617 JYX196617:JZE196617 KIT196617:KJA196617 KSP196617:KSW196617 LCL196617:LCS196617 LMH196617:LMO196617 LWD196617:LWK196617 MFZ196617:MGG196617 MPV196617:MQC196617 MZR196617:MZY196617 NJN196617:NJU196617 NTJ196617:NTQ196617 ODF196617:ODM196617 ONB196617:ONI196617 OWX196617:OXE196617 PGT196617:PHA196617 PQP196617:PQW196617 QAL196617:QAS196617 QKH196617:QKO196617 QUD196617:QUK196617 RDZ196617:REG196617 RNV196617:ROC196617 RXR196617:RXY196617 SHN196617:SHU196617 SRJ196617:SRQ196617 TBF196617:TBM196617 TLB196617:TLI196617 TUX196617:TVE196617 UET196617:UFA196617 UOP196617:UOW196617 UYL196617:UYS196617 VIH196617:VIO196617 VSD196617:VSK196617 WBZ196617:WCG196617 WLV196617:WMC196617 WVR196617:WVY196617 JF262153:JM262153 TB262153:TI262153 ACX262153:ADE262153 AMT262153:ANA262153 AWP262153:AWW262153 BGL262153:BGS262153 BQH262153:BQO262153 CAD262153:CAK262153 CJZ262153:CKG262153 CTV262153:CUC262153 DDR262153:DDY262153 DNN262153:DNU262153 DXJ262153:DXQ262153 EHF262153:EHM262153 ERB262153:ERI262153 FAX262153:FBE262153 FKT262153:FLA262153 FUP262153:FUW262153 GEL262153:GES262153 GOH262153:GOO262153 GYD262153:GYK262153 HHZ262153:HIG262153 HRV262153:HSC262153 IBR262153:IBY262153 ILN262153:ILU262153 IVJ262153:IVQ262153 JFF262153:JFM262153 JPB262153:JPI262153 JYX262153:JZE262153 KIT262153:KJA262153 KSP262153:KSW262153 LCL262153:LCS262153 LMH262153:LMO262153 LWD262153:LWK262153 MFZ262153:MGG262153 MPV262153:MQC262153 MZR262153:MZY262153 NJN262153:NJU262153 NTJ262153:NTQ262153 ODF262153:ODM262153 ONB262153:ONI262153 OWX262153:OXE262153 PGT262153:PHA262153 PQP262153:PQW262153 QAL262153:QAS262153 QKH262153:QKO262153 QUD262153:QUK262153 RDZ262153:REG262153 RNV262153:ROC262153 RXR262153:RXY262153 SHN262153:SHU262153 SRJ262153:SRQ262153 TBF262153:TBM262153 TLB262153:TLI262153 TUX262153:TVE262153 UET262153:UFA262153 UOP262153:UOW262153 UYL262153:UYS262153 VIH262153:VIO262153 VSD262153:VSK262153 WBZ262153:WCG262153 WLV262153:WMC262153 WVR262153:WVY262153 JF327689:JM327689 TB327689:TI327689 ACX327689:ADE327689 AMT327689:ANA327689 AWP327689:AWW327689 BGL327689:BGS327689 BQH327689:BQO327689 CAD327689:CAK327689 CJZ327689:CKG327689 CTV327689:CUC327689 DDR327689:DDY327689 DNN327689:DNU327689 DXJ327689:DXQ327689 EHF327689:EHM327689 ERB327689:ERI327689 FAX327689:FBE327689 FKT327689:FLA327689 FUP327689:FUW327689 GEL327689:GES327689 GOH327689:GOO327689 GYD327689:GYK327689 HHZ327689:HIG327689 HRV327689:HSC327689 IBR327689:IBY327689 ILN327689:ILU327689 IVJ327689:IVQ327689 JFF327689:JFM327689 JPB327689:JPI327689 JYX327689:JZE327689 KIT327689:KJA327689 KSP327689:KSW327689 LCL327689:LCS327689 LMH327689:LMO327689 LWD327689:LWK327689 MFZ327689:MGG327689 MPV327689:MQC327689 MZR327689:MZY327689 NJN327689:NJU327689 NTJ327689:NTQ327689 ODF327689:ODM327689 ONB327689:ONI327689 OWX327689:OXE327689 PGT327689:PHA327689 PQP327689:PQW327689 QAL327689:QAS327689 QKH327689:QKO327689 QUD327689:QUK327689 RDZ327689:REG327689 RNV327689:ROC327689 RXR327689:RXY327689 SHN327689:SHU327689 SRJ327689:SRQ327689 TBF327689:TBM327689 TLB327689:TLI327689 TUX327689:TVE327689 UET327689:UFA327689 UOP327689:UOW327689 UYL327689:UYS327689 VIH327689:VIO327689 VSD327689:VSK327689 WBZ327689:WCG327689 WLV327689:WMC327689 WVR327689:WVY327689 JF393225:JM393225 TB393225:TI393225 ACX393225:ADE393225 AMT393225:ANA393225 AWP393225:AWW393225 BGL393225:BGS393225 BQH393225:BQO393225 CAD393225:CAK393225 CJZ393225:CKG393225 CTV393225:CUC393225 DDR393225:DDY393225 DNN393225:DNU393225 DXJ393225:DXQ393225 EHF393225:EHM393225 ERB393225:ERI393225 FAX393225:FBE393225 FKT393225:FLA393225 FUP393225:FUW393225 GEL393225:GES393225 GOH393225:GOO393225 GYD393225:GYK393225 HHZ393225:HIG393225 HRV393225:HSC393225 IBR393225:IBY393225 ILN393225:ILU393225 IVJ393225:IVQ393225 JFF393225:JFM393225 JPB393225:JPI393225 JYX393225:JZE393225 KIT393225:KJA393225 KSP393225:KSW393225 LCL393225:LCS393225 LMH393225:LMO393225 LWD393225:LWK393225 MFZ393225:MGG393225 MPV393225:MQC393225 MZR393225:MZY393225 NJN393225:NJU393225 NTJ393225:NTQ393225 ODF393225:ODM393225 ONB393225:ONI393225 OWX393225:OXE393225 PGT393225:PHA393225 PQP393225:PQW393225 QAL393225:QAS393225 QKH393225:QKO393225 QUD393225:QUK393225 RDZ393225:REG393225 RNV393225:ROC393225 RXR393225:RXY393225 SHN393225:SHU393225 SRJ393225:SRQ393225 TBF393225:TBM393225 TLB393225:TLI393225 TUX393225:TVE393225 UET393225:UFA393225 UOP393225:UOW393225 UYL393225:UYS393225 VIH393225:VIO393225 VSD393225:VSK393225 WBZ393225:WCG393225 WLV393225:WMC393225 WVR393225:WVY393225 JF458761:JM458761 TB458761:TI458761 ACX458761:ADE458761 AMT458761:ANA458761 AWP458761:AWW458761 BGL458761:BGS458761 BQH458761:BQO458761 CAD458761:CAK458761 CJZ458761:CKG458761 CTV458761:CUC458761 DDR458761:DDY458761 DNN458761:DNU458761 DXJ458761:DXQ458761 EHF458761:EHM458761 ERB458761:ERI458761 FAX458761:FBE458761 FKT458761:FLA458761 FUP458761:FUW458761 GEL458761:GES458761 GOH458761:GOO458761 GYD458761:GYK458761 HHZ458761:HIG458761 HRV458761:HSC458761 IBR458761:IBY458761 ILN458761:ILU458761 IVJ458761:IVQ458761 JFF458761:JFM458761 JPB458761:JPI458761 JYX458761:JZE458761 KIT458761:KJA458761 KSP458761:KSW458761 LCL458761:LCS458761 LMH458761:LMO458761 LWD458761:LWK458761 MFZ458761:MGG458761 MPV458761:MQC458761 MZR458761:MZY458761 NJN458761:NJU458761 NTJ458761:NTQ458761 ODF458761:ODM458761 ONB458761:ONI458761 OWX458761:OXE458761 PGT458761:PHA458761 PQP458761:PQW458761 QAL458761:QAS458761 QKH458761:QKO458761 QUD458761:QUK458761 RDZ458761:REG458761 RNV458761:ROC458761 RXR458761:RXY458761 SHN458761:SHU458761 SRJ458761:SRQ458761 TBF458761:TBM458761 TLB458761:TLI458761 TUX458761:TVE458761 UET458761:UFA458761 UOP458761:UOW458761 UYL458761:UYS458761 VIH458761:VIO458761 VSD458761:VSK458761 WBZ458761:WCG458761 WLV458761:WMC458761 WVR458761:WVY458761 JF524297:JM524297 TB524297:TI524297 ACX524297:ADE524297 AMT524297:ANA524297 AWP524297:AWW524297 BGL524297:BGS524297 BQH524297:BQO524297 CAD524297:CAK524297 CJZ524297:CKG524297 CTV524297:CUC524297 DDR524297:DDY524297 DNN524297:DNU524297 DXJ524297:DXQ524297 EHF524297:EHM524297 ERB524297:ERI524297 FAX524297:FBE524297 FKT524297:FLA524297 FUP524297:FUW524297 GEL524297:GES524297 GOH524297:GOO524297 GYD524297:GYK524297 HHZ524297:HIG524297 HRV524297:HSC524297 IBR524297:IBY524297 ILN524297:ILU524297 IVJ524297:IVQ524297 JFF524297:JFM524297 JPB524297:JPI524297 JYX524297:JZE524297 KIT524297:KJA524297 KSP524297:KSW524297 LCL524297:LCS524297 LMH524297:LMO524297 LWD524297:LWK524297 MFZ524297:MGG524297 MPV524297:MQC524297 MZR524297:MZY524297 NJN524297:NJU524297 NTJ524297:NTQ524297 ODF524297:ODM524297 ONB524297:ONI524297 OWX524297:OXE524297 PGT524297:PHA524297 PQP524297:PQW524297 QAL524297:QAS524297 QKH524297:QKO524297 QUD524297:QUK524297 RDZ524297:REG524297 RNV524297:ROC524297 RXR524297:RXY524297 SHN524297:SHU524297 SRJ524297:SRQ524297 TBF524297:TBM524297 TLB524297:TLI524297 TUX524297:TVE524297 UET524297:UFA524297 UOP524297:UOW524297 UYL524297:UYS524297 VIH524297:VIO524297 VSD524297:VSK524297 WBZ524297:WCG524297 WLV524297:WMC524297 WVR524297:WVY524297 JF589833:JM589833 TB589833:TI589833 ACX589833:ADE589833 AMT589833:ANA589833 AWP589833:AWW589833 BGL589833:BGS589833 BQH589833:BQO589833 CAD589833:CAK589833 CJZ589833:CKG589833 CTV589833:CUC589833 DDR589833:DDY589833 DNN589833:DNU589833 DXJ589833:DXQ589833 EHF589833:EHM589833 ERB589833:ERI589833 FAX589833:FBE589833 FKT589833:FLA589833 FUP589833:FUW589833 GEL589833:GES589833 GOH589833:GOO589833 GYD589833:GYK589833 HHZ589833:HIG589833 HRV589833:HSC589833 IBR589833:IBY589833 ILN589833:ILU589833 IVJ589833:IVQ589833 JFF589833:JFM589833 JPB589833:JPI589833 JYX589833:JZE589833 KIT589833:KJA589833 KSP589833:KSW589833 LCL589833:LCS589833 LMH589833:LMO589833 LWD589833:LWK589833 MFZ589833:MGG589833 MPV589833:MQC589833 MZR589833:MZY589833 NJN589833:NJU589833 NTJ589833:NTQ589833 ODF589833:ODM589833 ONB589833:ONI589833 OWX589833:OXE589833 PGT589833:PHA589833 PQP589833:PQW589833 QAL589833:QAS589833 QKH589833:QKO589833 QUD589833:QUK589833 RDZ589833:REG589833 RNV589833:ROC589833 RXR589833:RXY589833 SHN589833:SHU589833 SRJ589833:SRQ589833 TBF589833:TBM589833 TLB589833:TLI589833 TUX589833:TVE589833 UET589833:UFA589833 UOP589833:UOW589833 UYL589833:UYS589833 VIH589833:VIO589833 VSD589833:VSK589833 WBZ589833:WCG589833 WLV589833:WMC589833 WVR589833:WVY589833 JF655369:JM655369 TB655369:TI655369 ACX655369:ADE655369 AMT655369:ANA655369 AWP655369:AWW655369 BGL655369:BGS655369 BQH655369:BQO655369 CAD655369:CAK655369 CJZ655369:CKG655369 CTV655369:CUC655369 DDR655369:DDY655369 DNN655369:DNU655369 DXJ655369:DXQ655369 EHF655369:EHM655369 ERB655369:ERI655369 FAX655369:FBE655369 FKT655369:FLA655369 FUP655369:FUW655369 GEL655369:GES655369 GOH655369:GOO655369 GYD655369:GYK655369 HHZ655369:HIG655369 HRV655369:HSC655369 IBR655369:IBY655369 ILN655369:ILU655369 IVJ655369:IVQ655369 JFF655369:JFM655369 JPB655369:JPI655369 JYX655369:JZE655369 KIT655369:KJA655369 KSP655369:KSW655369 LCL655369:LCS655369 LMH655369:LMO655369 LWD655369:LWK655369 MFZ655369:MGG655369 MPV655369:MQC655369 MZR655369:MZY655369 NJN655369:NJU655369 NTJ655369:NTQ655369 ODF655369:ODM655369 ONB655369:ONI655369 OWX655369:OXE655369 PGT655369:PHA655369 PQP655369:PQW655369 QAL655369:QAS655369 QKH655369:QKO655369 QUD655369:QUK655369 RDZ655369:REG655369 RNV655369:ROC655369 RXR655369:RXY655369 SHN655369:SHU655369 SRJ655369:SRQ655369 TBF655369:TBM655369 TLB655369:TLI655369 TUX655369:TVE655369 UET655369:UFA655369 UOP655369:UOW655369 UYL655369:UYS655369 VIH655369:VIO655369 VSD655369:VSK655369 WBZ655369:WCG655369 WLV655369:WMC655369 WVR655369:WVY655369 JF720905:JM720905 TB720905:TI720905 ACX720905:ADE720905 AMT720905:ANA720905 AWP720905:AWW720905 BGL720905:BGS720905 BQH720905:BQO720905 CAD720905:CAK720905 CJZ720905:CKG720905 CTV720905:CUC720905 DDR720905:DDY720905 DNN720905:DNU720905 DXJ720905:DXQ720905 EHF720905:EHM720905 ERB720905:ERI720905 FAX720905:FBE720905 FKT720905:FLA720905 FUP720905:FUW720905 GEL720905:GES720905 GOH720905:GOO720905 GYD720905:GYK720905 HHZ720905:HIG720905 HRV720905:HSC720905 IBR720905:IBY720905 ILN720905:ILU720905 IVJ720905:IVQ720905 JFF720905:JFM720905 JPB720905:JPI720905 JYX720905:JZE720905 KIT720905:KJA720905 KSP720905:KSW720905 LCL720905:LCS720905 LMH720905:LMO720905 LWD720905:LWK720905 MFZ720905:MGG720905 MPV720905:MQC720905 MZR720905:MZY720905 NJN720905:NJU720905 NTJ720905:NTQ720905 ODF720905:ODM720905 ONB720905:ONI720905 OWX720905:OXE720905 PGT720905:PHA720905 PQP720905:PQW720905 QAL720905:QAS720905 QKH720905:QKO720905 QUD720905:QUK720905 RDZ720905:REG720905 RNV720905:ROC720905 RXR720905:RXY720905 SHN720905:SHU720905 SRJ720905:SRQ720905 TBF720905:TBM720905 TLB720905:TLI720905 TUX720905:TVE720905 UET720905:UFA720905 UOP720905:UOW720905 UYL720905:UYS720905 VIH720905:VIO720905 VSD720905:VSK720905 WBZ720905:WCG720905 WLV720905:WMC720905 WVR720905:WVY720905 JF786441:JM786441 TB786441:TI786441 ACX786441:ADE786441 AMT786441:ANA786441 AWP786441:AWW786441 BGL786441:BGS786441 BQH786441:BQO786441 CAD786441:CAK786441 CJZ786441:CKG786441 CTV786441:CUC786441 DDR786441:DDY786441 DNN786441:DNU786441 DXJ786441:DXQ786441 EHF786441:EHM786441 ERB786441:ERI786441 FAX786441:FBE786441 FKT786441:FLA786441 FUP786441:FUW786441 GEL786441:GES786441 GOH786441:GOO786441 GYD786441:GYK786441 HHZ786441:HIG786441 HRV786441:HSC786441 IBR786441:IBY786441 ILN786441:ILU786441 IVJ786441:IVQ786441 JFF786441:JFM786441 JPB786441:JPI786441 JYX786441:JZE786441 KIT786441:KJA786441 KSP786441:KSW786441 LCL786441:LCS786441 LMH786441:LMO786441 LWD786441:LWK786441 MFZ786441:MGG786441 MPV786441:MQC786441 MZR786441:MZY786441 NJN786441:NJU786441 NTJ786441:NTQ786441 ODF786441:ODM786441 ONB786441:ONI786441 OWX786441:OXE786441 PGT786441:PHA786441 PQP786441:PQW786441 QAL786441:QAS786441 QKH786441:QKO786441 QUD786441:QUK786441 RDZ786441:REG786441 RNV786441:ROC786441 RXR786441:RXY786441 SHN786441:SHU786441 SRJ786441:SRQ786441 TBF786441:TBM786441 TLB786441:TLI786441 TUX786441:TVE786441 UET786441:UFA786441 UOP786441:UOW786441 UYL786441:UYS786441 VIH786441:VIO786441 VSD786441:VSK786441 WBZ786441:WCG786441 WLV786441:WMC786441 WVR786441:WVY786441 JF851977:JM851977 TB851977:TI851977 ACX851977:ADE851977 AMT851977:ANA851977 AWP851977:AWW851977 BGL851977:BGS851977 BQH851977:BQO851977 CAD851977:CAK851977 CJZ851977:CKG851977 CTV851977:CUC851977 DDR851977:DDY851977 DNN851977:DNU851977 DXJ851977:DXQ851977 EHF851977:EHM851977 ERB851977:ERI851977 FAX851977:FBE851977 FKT851977:FLA851977 FUP851977:FUW851977 GEL851977:GES851977 GOH851977:GOO851977 GYD851977:GYK851977 HHZ851977:HIG851977 HRV851977:HSC851977 IBR851977:IBY851977 ILN851977:ILU851977 IVJ851977:IVQ851977 JFF851977:JFM851977 JPB851977:JPI851977 JYX851977:JZE851977 KIT851977:KJA851977 KSP851977:KSW851977 LCL851977:LCS851977 LMH851977:LMO851977 LWD851977:LWK851977 MFZ851977:MGG851977 MPV851977:MQC851977 MZR851977:MZY851977 NJN851977:NJU851977 NTJ851977:NTQ851977 ODF851977:ODM851977 ONB851977:ONI851977 OWX851977:OXE851977 PGT851977:PHA851977 PQP851977:PQW851977 QAL851977:QAS851977 QKH851977:QKO851977 QUD851977:QUK851977 RDZ851977:REG851977 RNV851977:ROC851977 RXR851977:RXY851977 SHN851977:SHU851977 SRJ851977:SRQ851977 TBF851977:TBM851977 TLB851977:TLI851977 TUX851977:TVE851977 UET851977:UFA851977 UOP851977:UOW851977 UYL851977:UYS851977 VIH851977:VIO851977 VSD851977:VSK851977 WBZ851977:WCG851977 WLV851977:WMC851977 WVR851977:WVY851977 JF917513:JM917513 TB917513:TI917513 ACX917513:ADE917513 AMT917513:ANA917513 AWP917513:AWW917513 BGL917513:BGS917513 BQH917513:BQO917513 CAD917513:CAK917513 CJZ917513:CKG917513 CTV917513:CUC917513 DDR917513:DDY917513 DNN917513:DNU917513 DXJ917513:DXQ917513 EHF917513:EHM917513 ERB917513:ERI917513 FAX917513:FBE917513 FKT917513:FLA917513 FUP917513:FUW917513 GEL917513:GES917513 GOH917513:GOO917513 GYD917513:GYK917513 HHZ917513:HIG917513 HRV917513:HSC917513 IBR917513:IBY917513 ILN917513:ILU917513 IVJ917513:IVQ917513 JFF917513:JFM917513 JPB917513:JPI917513 JYX917513:JZE917513 KIT917513:KJA917513 KSP917513:KSW917513 LCL917513:LCS917513 LMH917513:LMO917513 LWD917513:LWK917513 MFZ917513:MGG917513 MPV917513:MQC917513 MZR917513:MZY917513 NJN917513:NJU917513 NTJ917513:NTQ917513 ODF917513:ODM917513 ONB917513:ONI917513 OWX917513:OXE917513 PGT917513:PHA917513 PQP917513:PQW917513 QAL917513:QAS917513 QKH917513:QKO917513 QUD917513:QUK917513 RDZ917513:REG917513 RNV917513:ROC917513 RXR917513:RXY917513 SHN917513:SHU917513 SRJ917513:SRQ917513 TBF917513:TBM917513 TLB917513:TLI917513 TUX917513:TVE917513 UET917513:UFA917513 UOP917513:UOW917513 UYL917513:UYS917513 VIH917513:VIO917513 VSD917513:VSK917513 WBZ917513:WCG917513 WLV917513:WMC917513 WVR917513:WVY917513 WVR983049:WVY983049 JF983049:JM983049 TB983049:TI983049 ACX983049:ADE983049 AMT983049:ANA983049 AWP983049:AWW983049 BGL983049:BGS983049 BQH983049:BQO983049 CAD983049:CAK983049 CJZ983049:CKG983049 CTV983049:CUC983049 DDR983049:DDY983049 DNN983049:DNU983049 DXJ983049:DXQ983049 EHF983049:EHM983049 ERB983049:ERI983049 FAX983049:FBE983049 FKT983049:FLA983049 FUP983049:FUW983049 GEL983049:GES983049 GOH983049:GOO983049 GYD983049:GYK983049 HHZ983049:HIG983049 HRV983049:HSC983049 IBR983049:IBY983049 ILN983049:ILU983049 IVJ983049:IVQ983049 JFF983049:JFM983049 JPB983049:JPI983049 JYX983049:JZE983049 KIT983049:KJA983049 KSP983049:KSW983049 LCL983049:LCS983049 LMH983049:LMO983049 LWD983049:LWK983049 MFZ983049:MGG983049 MPV983049:MQC983049 MZR983049:MZY983049 NJN983049:NJU983049 NTJ983049:NTQ983049 ODF983049:ODM983049 ONB983049:ONI983049 OWX983049:OXE983049 PGT983049:PHA983049 PQP983049:PQW983049 QAL983049:QAS983049 QKH983049:QKO983049 QUD983049:QUK983049 RDZ983049:REG983049 RNV983049:ROC983049 RXR983049:RXY983049 SHN983049:SHU983049 SRJ983049:SRQ983049 TBF983049:TBM983049 TLB983049:TLI983049 TUX983049:TVE983049 UET983049:UFA983049 UOP983049:UOW983049 UYL983049:UYS983049 VIH983049:VIO983049 VSD983049:VSK983049 WBZ983049:WCG983049 WLV983049:WMC983049 G983049:Q983049 G917513:Q917513 G851977:Q851977 G786441:Q786441 G720905:Q720905 G655369:Q655369 G589833:Q589833 G524297:Q524297 G458761:Q458761 G393225:Q393225 G327689:Q327689 G262153:Q262153 G196617:Q196617 G131081:Q131081 G65545:Q65545 G9:Q9 G983125:Q983125 G917589:Q917589 G852053:Q852053 G786517:Q786517 G720981:Q720981 G655445:Q655445 G589909:Q589909 G524373:Q524373 G458837:Q458837 G393301:Q393301 G327765:Q327765 G262229:Q262229 G196693:Q196693 G131157:Q131157 G65621:Q65621 G85:Q85" xr:uid="{00000000-0002-0000-0300-000001000000}">
      <formula1>"改修,新営"</formula1>
    </dataValidation>
    <dataValidation type="list" allowBlank="1" showInputMessage="1" showErrorMessage="1" sqref="JF304:JM304 TB304:TI304 ACX304:ADE304 AMT304:ANA304 AWP304:AWW304 BGL304:BGS304 BQH304:BQO304 CAD304:CAK304 CJZ304:CKG304 CTV304:CUC304 DDR304:DDY304 DNN304:DNU304 DXJ304:DXQ304 EHF304:EHM304 ERB304:ERI304 FAX304:FBE304 FKT304:FLA304 FUP304:FUW304 GEL304:GES304 GOH304:GOO304 GYD304:GYK304 HHZ304:HIG304 HRV304:HSC304 IBR304:IBY304 ILN304:ILU304 IVJ304:IVQ304 JFF304:JFM304 JPB304:JPI304 JYX304:JZE304 KIT304:KJA304 KSP304:KSW304 LCL304:LCS304 LMH304:LMO304 LWD304:LWK304 MFZ304:MGG304 MPV304:MQC304 MZR304:MZY304 NJN304:NJU304 NTJ304:NTQ304 ODF304:ODM304 ONB304:ONI304 OWX304:OXE304 PGT304:PHA304 PQP304:PQW304 QAL304:QAS304 QKH304:QKO304 QUD304:QUK304 RDZ304:REG304 RNV304:ROC304 RXR304:RXY304 SHN304:SHU304 SRJ304:SRQ304 TBF304:TBM304 TLB304:TLI304 TUX304:TVE304 UET304:UFA304 UOP304:UOW304 UYL304:UYS304 VIH304:VIO304 VSD304:VSK304 WBZ304:WCG304 WLV304:WMC304 WVR304:WVY304 JF65840:JM65840 TB65840:TI65840 ACX65840:ADE65840 AMT65840:ANA65840 AWP65840:AWW65840 BGL65840:BGS65840 BQH65840:BQO65840 CAD65840:CAK65840 CJZ65840:CKG65840 CTV65840:CUC65840 DDR65840:DDY65840 DNN65840:DNU65840 DXJ65840:DXQ65840 EHF65840:EHM65840 ERB65840:ERI65840 FAX65840:FBE65840 FKT65840:FLA65840 FUP65840:FUW65840 GEL65840:GES65840 GOH65840:GOO65840 GYD65840:GYK65840 HHZ65840:HIG65840 HRV65840:HSC65840 IBR65840:IBY65840 ILN65840:ILU65840 IVJ65840:IVQ65840 JFF65840:JFM65840 JPB65840:JPI65840 JYX65840:JZE65840 KIT65840:KJA65840 KSP65840:KSW65840 LCL65840:LCS65840 LMH65840:LMO65840 LWD65840:LWK65840 MFZ65840:MGG65840 MPV65840:MQC65840 MZR65840:MZY65840 NJN65840:NJU65840 NTJ65840:NTQ65840 ODF65840:ODM65840 ONB65840:ONI65840 OWX65840:OXE65840 PGT65840:PHA65840 PQP65840:PQW65840 QAL65840:QAS65840 QKH65840:QKO65840 QUD65840:QUK65840 RDZ65840:REG65840 RNV65840:ROC65840 RXR65840:RXY65840 SHN65840:SHU65840 SRJ65840:SRQ65840 TBF65840:TBM65840 TLB65840:TLI65840 TUX65840:TVE65840 UET65840:UFA65840 UOP65840:UOW65840 UYL65840:UYS65840 VIH65840:VIO65840 VSD65840:VSK65840 WBZ65840:WCG65840 WLV65840:WMC65840 WVR65840:WVY65840 JF131376:JM131376 TB131376:TI131376 ACX131376:ADE131376 AMT131376:ANA131376 AWP131376:AWW131376 BGL131376:BGS131376 BQH131376:BQO131376 CAD131376:CAK131376 CJZ131376:CKG131376 CTV131376:CUC131376 DDR131376:DDY131376 DNN131376:DNU131376 DXJ131376:DXQ131376 EHF131376:EHM131376 ERB131376:ERI131376 FAX131376:FBE131376 FKT131376:FLA131376 FUP131376:FUW131376 GEL131376:GES131376 GOH131376:GOO131376 GYD131376:GYK131376 HHZ131376:HIG131376 HRV131376:HSC131376 IBR131376:IBY131376 ILN131376:ILU131376 IVJ131376:IVQ131376 JFF131376:JFM131376 JPB131376:JPI131376 JYX131376:JZE131376 KIT131376:KJA131376 KSP131376:KSW131376 LCL131376:LCS131376 LMH131376:LMO131376 LWD131376:LWK131376 MFZ131376:MGG131376 MPV131376:MQC131376 MZR131376:MZY131376 NJN131376:NJU131376 NTJ131376:NTQ131376 ODF131376:ODM131376 ONB131376:ONI131376 OWX131376:OXE131376 PGT131376:PHA131376 PQP131376:PQW131376 QAL131376:QAS131376 QKH131376:QKO131376 QUD131376:QUK131376 RDZ131376:REG131376 RNV131376:ROC131376 RXR131376:RXY131376 SHN131376:SHU131376 SRJ131376:SRQ131376 TBF131376:TBM131376 TLB131376:TLI131376 TUX131376:TVE131376 UET131376:UFA131376 UOP131376:UOW131376 UYL131376:UYS131376 VIH131376:VIO131376 VSD131376:VSK131376 WBZ131376:WCG131376 WLV131376:WMC131376 WVR131376:WVY131376 JF196912:JM196912 TB196912:TI196912 ACX196912:ADE196912 AMT196912:ANA196912 AWP196912:AWW196912 BGL196912:BGS196912 BQH196912:BQO196912 CAD196912:CAK196912 CJZ196912:CKG196912 CTV196912:CUC196912 DDR196912:DDY196912 DNN196912:DNU196912 DXJ196912:DXQ196912 EHF196912:EHM196912 ERB196912:ERI196912 FAX196912:FBE196912 FKT196912:FLA196912 FUP196912:FUW196912 GEL196912:GES196912 GOH196912:GOO196912 GYD196912:GYK196912 HHZ196912:HIG196912 HRV196912:HSC196912 IBR196912:IBY196912 ILN196912:ILU196912 IVJ196912:IVQ196912 JFF196912:JFM196912 JPB196912:JPI196912 JYX196912:JZE196912 KIT196912:KJA196912 KSP196912:KSW196912 LCL196912:LCS196912 LMH196912:LMO196912 LWD196912:LWK196912 MFZ196912:MGG196912 MPV196912:MQC196912 MZR196912:MZY196912 NJN196912:NJU196912 NTJ196912:NTQ196912 ODF196912:ODM196912 ONB196912:ONI196912 OWX196912:OXE196912 PGT196912:PHA196912 PQP196912:PQW196912 QAL196912:QAS196912 QKH196912:QKO196912 QUD196912:QUK196912 RDZ196912:REG196912 RNV196912:ROC196912 RXR196912:RXY196912 SHN196912:SHU196912 SRJ196912:SRQ196912 TBF196912:TBM196912 TLB196912:TLI196912 TUX196912:TVE196912 UET196912:UFA196912 UOP196912:UOW196912 UYL196912:UYS196912 VIH196912:VIO196912 VSD196912:VSK196912 WBZ196912:WCG196912 WLV196912:WMC196912 WVR196912:WVY196912 JF262448:JM262448 TB262448:TI262448 ACX262448:ADE262448 AMT262448:ANA262448 AWP262448:AWW262448 BGL262448:BGS262448 BQH262448:BQO262448 CAD262448:CAK262448 CJZ262448:CKG262448 CTV262448:CUC262448 DDR262448:DDY262448 DNN262448:DNU262448 DXJ262448:DXQ262448 EHF262448:EHM262448 ERB262448:ERI262448 FAX262448:FBE262448 FKT262448:FLA262448 FUP262448:FUW262448 GEL262448:GES262448 GOH262448:GOO262448 GYD262448:GYK262448 HHZ262448:HIG262448 HRV262448:HSC262448 IBR262448:IBY262448 ILN262448:ILU262448 IVJ262448:IVQ262448 JFF262448:JFM262448 JPB262448:JPI262448 JYX262448:JZE262448 KIT262448:KJA262448 KSP262448:KSW262448 LCL262448:LCS262448 LMH262448:LMO262448 LWD262448:LWK262448 MFZ262448:MGG262448 MPV262448:MQC262448 MZR262448:MZY262448 NJN262448:NJU262448 NTJ262448:NTQ262448 ODF262448:ODM262448 ONB262448:ONI262448 OWX262448:OXE262448 PGT262448:PHA262448 PQP262448:PQW262448 QAL262448:QAS262448 QKH262448:QKO262448 QUD262448:QUK262448 RDZ262448:REG262448 RNV262448:ROC262448 RXR262448:RXY262448 SHN262448:SHU262448 SRJ262448:SRQ262448 TBF262448:TBM262448 TLB262448:TLI262448 TUX262448:TVE262448 UET262448:UFA262448 UOP262448:UOW262448 UYL262448:UYS262448 VIH262448:VIO262448 VSD262448:VSK262448 WBZ262448:WCG262448 WLV262448:WMC262448 WVR262448:WVY262448 JF327984:JM327984 TB327984:TI327984 ACX327984:ADE327984 AMT327984:ANA327984 AWP327984:AWW327984 BGL327984:BGS327984 BQH327984:BQO327984 CAD327984:CAK327984 CJZ327984:CKG327984 CTV327984:CUC327984 DDR327984:DDY327984 DNN327984:DNU327984 DXJ327984:DXQ327984 EHF327984:EHM327984 ERB327984:ERI327984 FAX327984:FBE327984 FKT327984:FLA327984 FUP327984:FUW327984 GEL327984:GES327984 GOH327984:GOO327984 GYD327984:GYK327984 HHZ327984:HIG327984 HRV327984:HSC327984 IBR327984:IBY327984 ILN327984:ILU327984 IVJ327984:IVQ327984 JFF327984:JFM327984 JPB327984:JPI327984 JYX327984:JZE327984 KIT327984:KJA327984 KSP327984:KSW327984 LCL327984:LCS327984 LMH327984:LMO327984 LWD327984:LWK327984 MFZ327984:MGG327984 MPV327984:MQC327984 MZR327984:MZY327984 NJN327984:NJU327984 NTJ327984:NTQ327984 ODF327984:ODM327984 ONB327984:ONI327984 OWX327984:OXE327984 PGT327984:PHA327984 PQP327984:PQW327984 QAL327984:QAS327984 QKH327984:QKO327984 QUD327984:QUK327984 RDZ327984:REG327984 RNV327984:ROC327984 RXR327984:RXY327984 SHN327984:SHU327984 SRJ327984:SRQ327984 TBF327984:TBM327984 TLB327984:TLI327984 TUX327984:TVE327984 UET327984:UFA327984 UOP327984:UOW327984 UYL327984:UYS327984 VIH327984:VIO327984 VSD327984:VSK327984 WBZ327984:WCG327984 WLV327984:WMC327984 WVR327984:WVY327984 JF393520:JM393520 TB393520:TI393520 ACX393520:ADE393520 AMT393520:ANA393520 AWP393520:AWW393520 BGL393520:BGS393520 BQH393520:BQO393520 CAD393520:CAK393520 CJZ393520:CKG393520 CTV393520:CUC393520 DDR393520:DDY393520 DNN393520:DNU393520 DXJ393520:DXQ393520 EHF393520:EHM393520 ERB393520:ERI393520 FAX393520:FBE393520 FKT393520:FLA393520 FUP393520:FUW393520 GEL393520:GES393520 GOH393520:GOO393520 GYD393520:GYK393520 HHZ393520:HIG393520 HRV393520:HSC393520 IBR393520:IBY393520 ILN393520:ILU393520 IVJ393520:IVQ393520 JFF393520:JFM393520 JPB393520:JPI393520 JYX393520:JZE393520 KIT393520:KJA393520 KSP393520:KSW393520 LCL393520:LCS393520 LMH393520:LMO393520 LWD393520:LWK393520 MFZ393520:MGG393520 MPV393520:MQC393520 MZR393520:MZY393520 NJN393520:NJU393520 NTJ393520:NTQ393520 ODF393520:ODM393520 ONB393520:ONI393520 OWX393520:OXE393520 PGT393520:PHA393520 PQP393520:PQW393520 QAL393520:QAS393520 QKH393520:QKO393520 QUD393520:QUK393520 RDZ393520:REG393520 RNV393520:ROC393520 RXR393520:RXY393520 SHN393520:SHU393520 SRJ393520:SRQ393520 TBF393520:TBM393520 TLB393520:TLI393520 TUX393520:TVE393520 UET393520:UFA393520 UOP393520:UOW393520 UYL393520:UYS393520 VIH393520:VIO393520 VSD393520:VSK393520 WBZ393520:WCG393520 WLV393520:WMC393520 WVR393520:WVY393520 JF459056:JM459056 TB459056:TI459056 ACX459056:ADE459056 AMT459056:ANA459056 AWP459056:AWW459056 BGL459056:BGS459056 BQH459056:BQO459056 CAD459056:CAK459056 CJZ459056:CKG459056 CTV459056:CUC459056 DDR459056:DDY459056 DNN459056:DNU459056 DXJ459056:DXQ459056 EHF459056:EHM459056 ERB459056:ERI459056 FAX459056:FBE459056 FKT459056:FLA459056 FUP459056:FUW459056 GEL459056:GES459056 GOH459056:GOO459056 GYD459056:GYK459056 HHZ459056:HIG459056 HRV459056:HSC459056 IBR459056:IBY459056 ILN459056:ILU459056 IVJ459056:IVQ459056 JFF459056:JFM459056 JPB459056:JPI459056 JYX459056:JZE459056 KIT459056:KJA459056 KSP459056:KSW459056 LCL459056:LCS459056 LMH459056:LMO459056 LWD459056:LWK459056 MFZ459056:MGG459056 MPV459056:MQC459056 MZR459056:MZY459056 NJN459056:NJU459056 NTJ459056:NTQ459056 ODF459056:ODM459056 ONB459056:ONI459056 OWX459056:OXE459056 PGT459056:PHA459056 PQP459056:PQW459056 QAL459056:QAS459056 QKH459056:QKO459056 QUD459056:QUK459056 RDZ459056:REG459056 RNV459056:ROC459056 RXR459056:RXY459056 SHN459056:SHU459056 SRJ459056:SRQ459056 TBF459056:TBM459056 TLB459056:TLI459056 TUX459056:TVE459056 UET459056:UFA459056 UOP459056:UOW459056 UYL459056:UYS459056 VIH459056:VIO459056 VSD459056:VSK459056 WBZ459056:WCG459056 WLV459056:WMC459056 WVR459056:WVY459056 JF524592:JM524592 TB524592:TI524592 ACX524592:ADE524592 AMT524592:ANA524592 AWP524592:AWW524592 BGL524592:BGS524592 BQH524592:BQO524592 CAD524592:CAK524592 CJZ524592:CKG524592 CTV524592:CUC524592 DDR524592:DDY524592 DNN524592:DNU524592 DXJ524592:DXQ524592 EHF524592:EHM524592 ERB524592:ERI524592 FAX524592:FBE524592 FKT524592:FLA524592 FUP524592:FUW524592 GEL524592:GES524592 GOH524592:GOO524592 GYD524592:GYK524592 HHZ524592:HIG524592 HRV524592:HSC524592 IBR524592:IBY524592 ILN524592:ILU524592 IVJ524592:IVQ524592 JFF524592:JFM524592 JPB524592:JPI524592 JYX524592:JZE524592 KIT524592:KJA524592 KSP524592:KSW524592 LCL524592:LCS524592 LMH524592:LMO524592 LWD524592:LWK524592 MFZ524592:MGG524592 MPV524592:MQC524592 MZR524592:MZY524592 NJN524592:NJU524592 NTJ524592:NTQ524592 ODF524592:ODM524592 ONB524592:ONI524592 OWX524592:OXE524592 PGT524592:PHA524592 PQP524592:PQW524592 QAL524592:QAS524592 QKH524592:QKO524592 QUD524592:QUK524592 RDZ524592:REG524592 RNV524592:ROC524592 RXR524592:RXY524592 SHN524592:SHU524592 SRJ524592:SRQ524592 TBF524592:TBM524592 TLB524592:TLI524592 TUX524592:TVE524592 UET524592:UFA524592 UOP524592:UOW524592 UYL524592:UYS524592 VIH524592:VIO524592 VSD524592:VSK524592 WBZ524592:WCG524592 WLV524592:WMC524592 WVR524592:WVY524592 JF590128:JM590128 TB590128:TI590128 ACX590128:ADE590128 AMT590128:ANA590128 AWP590128:AWW590128 BGL590128:BGS590128 BQH590128:BQO590128 CAD590128:CAK590128 CJZ590128:CKG590128 CTV590128:CUC590128 DDR590128:DDY590128 DNN590128:DNU590128 DXJ590128:DXQ590128 EHF590128:EHM590128 ERB590128:ERI590128 FAX590128:FBE590128 FKT590128:FLA590128 FUP590128:FUW590128 GEL590128:GES590128 GOH590128:GOO590128 GYD590128:GYK590128 HHZ590128:HIG590128 HRV590128:HSC590128 IBR590128:IBY590128 ILN590128:ILU590128 IVJ590128:IVQ590128 JFF590128:JFM590128 JPB590128:JPI590128 JYX590128:JZE590128 KIT590128:KJA590128 KSP590128:KSW590128 LCL590128:LCS590128 LMH590128:LMO590128 LWD590128:LWK590128 MFZ590128:MGG590128 MPV590128:MQC590128 MZR590128:MZY590128 NJN590128:NJU590128 NTJ590128:NTQ590128 ODF590128:ODM590128 ONB590128:ONI590128 OWX590128:OXE590128 PGT590128:PHA590128 PQP590128:PQW590128 QAL590128:QAS590128 QKH590128:QKO590128 QUD590128:QUK590128 RDZ590128:REG590128 RNV590128:ROC590128 RXR590128:RXY590128 SHN590128:SHU590128 SRJ590128:SRQ590128 TBF590128:TBM590128 TLB590128:TLI590128 TUX590128:TVE590128 UET590128:UFA590128 UOP590128:UOW590128 UYL590128:UYS590128 VIH590128:VIO590128 VSD590128:VSK590128 WBZ590128:WCG590128 WLV590128:WMC590128 WVR590128:WVY590128 JF655664:JM655664 TB655664:TI655664 ACX655664:ADE655664 AMT655664:ANA655664 AWP655664:AWW655664 BGL655664:BGS655664 BQH655664:BQO655664 CAD655664:CAK655664 CJZ655664:CKG655664 CTV655664:CUC655664 DDR655664:DDY655664 DNN655664:DNU655664 DXJ655664:DXQ655664 EHF655664:EHM655664 ERB655664:ERI655664 FAX655664:FBE655664 FKT655664:FLA655664 FUP655664:FUW655664 GEL655664:GES655664 GOH655664:GOO655664 GYD655664:GYK655664 HHZ655664:HIG655664 HRV655664:HSC655664 IBR655664:IBY655664 ILN655664:ILU655664 IVJ655664:IVQ655664 JFF655664:JFM655664 JPB655664:JPI655664 JYX655664:JZE655664 KIT655664:KJA655664 KSP655664:KSW655664 LCL655664:LCS655664 LMH655664:LMO655664 LWD655664:LWK655664 MFZ655664:MGG655664 MPV655664:MQC655664 MZR655664:MZY655664 NJN655664:NJU655664 NTJ655664:NTQ655664 ODF655664:ODM655664 ONB655664:ONI655664 OWX655664:OXE655664 PGT655664:PHA655664 PQP655664:PQW655664 QAL655664:QAS655664 QKH655664:QKO655664 QUD655664:QUK655664 RDZ655664:REG655664 RNV655664:ROC655664 RXR655664:RXY655664 SHN655664:SHU655664 SRJ655664:SRQ655664 TBF655664:TBM655664 TLB655664:TLI655664 TUX655664:TVE655664 UET655664:UFA655664 UOP655664:UOW655664 UYL655664:UYS655664 VIH655664:VIO655664 VSD655664:VSK655664 WBZ655664:WCG655664 WLV655664:WMC655664 WVR655664:WVY655664 JF721200:JM721200 TB721200:TI721200 ACX721200:ADE721200 AMT721200:ANA721200 AWP721200:AWW721200 BGL721200:BGS721200 BQH721200:BQO721200 CAD721200:CAK721200 CJZ721200:CKG721200 CTV721200:CUC721200 DDR721200:DDY721200 DNN721200:DNU721200 DXJ721200:DXQ721200 EHF721200:EHM721200 ERB721200:ERI721200 FAX721200:FBE721200 FKT721200:FLA721200 FUP721200:FUW721200 GEL721200:GES721200 GOH721200:GOO721200 GYD721200:GYK721200 HHZ721200:HIG721200 HRV721200:HSC721200 IBR721200:IBY721200 ILN721200:ILU721200 IVJ721200:IVQ721200 JFF721200:JFM721200 JPB721200:JPI721200 JYX721200:JZE721200 KIT721200:KJA721200 KSP721200:KSW721200 LCL721200:LCS721200 LMH721200:LMO721200 LWD721200:LWK721200 MFZ721200:MGG721200 MPV721200:MQC721200 MZR721200:MZY721200 NJN721200:NJU721200 NTJ721200:NTQ721200 ODF721200:ODM721200 ONB721200:ONI721200 OWX721200:OXE721200 PGT721200:PHA721200 PQP721200:PQW721200 QAL721200:QAS721200 QKH721200:QKO721200 QUD721200:QUK721200 RDZ721200:REG721200 RNV721200:ROC721200 RXR721200:RXY721200 SHN721200:SHU721200 SRJ721200:SRQ721200 TBF721200:TBM721200 TLB721200:TLI721200 TUX721200:TVE721200 UET721200:UFA721200 UOP721200:UOW721200 UYL721200:UYS721200 VIH721200:VIO721200 VSD721200:VSK721200 WBZ721200:WCG721200 WLV721200:WMC721200 WVR721200:WVY721200 JF786736:JM786736 TB786736:TI786736 ACX786736:ADE786736 AMT786736:ANA786736 AWP786736:AWW786736 BGL786736:BGS786736 BQH786736:BQO786736 CAD786736:CAK786736 CJZ786736:CKG786736 CTV786736:CUC786736 DDR786736:DDY786736 DNN786736:DNU786736 DXJ786736:DXQ786736 EHF786736:EHM786736 ERB786736:ERI786736 FAX786736:FBE786736 FKT786736:FLA786736 FUP786736:FUW786736 GEL786736:GES786736 GOH786736:GOO786736 GYD786736:GYK786736 HHZ786736:HIG786736 HRV786736:HSC786736 IBR786736:IBY786736 ILN786736:ILU786736 IVJ786736:IVQ786736 JFF786736:JFM786736 JPB786736:JPI786736 JYX786736:JZE786736 KIT786736:KJA786736 KSP786736:KSW786736 LCL786736:LCS786736 LMH786736:LMO786736 LWD786736:LWK786736 MFZ786736:MGG786736 MPV786736:MQC786736 MZR786736:MZY786736 NJN786736:NJU786736 NTJ786736:NTQ786736 ODF786736:ODM786736 ONB786736:ONI786736 OWX786736:OXE786736 PGT786736:PHA786736 PQP786736:PQW786736 QAL786736:QAS786736 QKH786736:QKO786736 QUD786736:QUK786736 RDZ786736:REG786736 RNV786736:ROC786736 RXR786736:RXY786736 SHN786736:SHU786736 SRJ786736:SRQ786736 TBF786736:TBM786736 TLB786736:TLI786736 TUX786736:TVE786736 UET786736:UFA786736 UOP786736:UOW786736 UYL786736:UYS786736 VIH786736:VIO786736 VSD786736:VSK786736 WBZ786736:WCG786736 WLV786736:WMC786736 WVR786736:WVY786736 JF852272:JM852272 TB852272:TI852272 ACX852272:ADE852272 AMT852272:ANA852272 AWP852272:AWW852272 BGL852272:BGS852272 BQH852272:BQO852272 CAD852272:CAK852272 CJZ852272:CKG852272 CTV852272:CUC852272 DDR852272:DDY852272 DNN852272:DNU852272 DXJ852272:DXQ852272 EHF852272:EHM852272 ERB852272:ERI852272 FAX852272:FBE852272 FKT852272:FLA852272 FUP852272:FUW852272 GEL852272:GES852272 GOH852272:GOO852272 GYD852272:GYK852272 HHZ852272:HIG852272 HRV852272:HSC852272 IBR852272:IBY852272 ILN852272:ILU852272 IVJ852272:IVQ852272 JFF852272:JFM852272 JPB852272:JPI852272 JYX852272:JZE852272 KIT852272:KJA852272 KSP852272:KSW852272 LCL852272:LCS852272 LMH852272:LMO852272 LWD852272:LWK852272 MFZ852272:MGG852272 MPV852272:MQC852272 MZR852272:MZY852272 NJN852272:NJU852272 NTJ852272:NTQ852272 ODF852272:ODM852272 ONB852272:ONI852272 OWX852272:OXE852272 PGT852272:PHA852272 PQP852272:PQW852272 QAL852272:QAS852272 QKH852272:QKO852272 QUD852272:QUK852272 RDZ852272:REG852272 RNV852272:ROC852272 RXR852272:RXY852272 SHN852272:SHU852272 SRJ852272:SRQ852272 TBF852272:TBM852272 TLB852272:TLI852272 TUX852272:TVE852272 UET852272:UFA852272 UOP852272:UOW852272 UYL852272:UYS852272 VIH852272:VIO852272 VSD852272:VSK852272 WBZ852272:WCG852272 WLV852272:WMC852272 WVR852272:WVY852272 JF917808:JM917808 TB917808:TI917808 ACX917808:ADE917808 AMT917808:ANA917808 AWP917808:AWW917808 BGL917808:BGS917808 BQH917808:BQO917808 CAD917808:CAK917808 CJZ917808:CKG917808 CTV917808:CUC917808 DDR917808:DDY917808 DNN917808:DNU917808 DXJ917808:DXQ917808 EHF917808:EHM917808 ERB917808:ERI917808 FAX917808:FBE917808 FKT917808:FLA917808 FUP917808:FUW917808 GEL917808:GES917808 GOH917808:GOO917808 GYD917808:GYK917808 HHZ917808:HIG917808 HRV917808:HSC917808 IBR917808:IBY917808 ILN917808:ILU917808 IVJ917808:IVQ917808 JFF917808:JFM917808 JPB917808:JPI917808 JYX917808:JZE917808 KIT917808:KJA917808 KSP917808:KSW917808 LCL917808:LCS917808 LMH917808:LMO917808 LWD917808:LWK917808 MFZ917808:MGG917808 MPV917808:MQC917808 MZR917808:MZY917808 NJN917808:NJU917808 NTJ917808:NTQ917808 ODF917808:ODM917808 ONB917808:ONI917808 OWX917808:OXE917808 PGT917808:PHA917808 PQP917808:PQW917808 QAL917808:QAS917808 QKH917808:QKO917808 QUD917808:QUK917808 RDZ917808:REG917808 RNV917808:ROC917808 RXR917808:RXY917808 SHN917808:SHU917808 SRJ917808:SRQ917808 TBF917808:TBM917808 TLB917808:TLI917808 TUX917808:TVE917808 UET917808:UFA917808 UOP917808:UOW917808 UYL917808:UYS917808 VIH917808:VIO917808 VSD917808:VSK917808 WBZ917808:WCG917808 WLV917808:WMC917808 WVR917808:WVY917808 JF983344:JM983344 TB983344:TI983344 ACX983344:ADE983344 AMT983344:ANA983344 AWP983344:AWW983344 BGL983344:BGS983344 BQH983344:BQO983344 CAD983344:CAK983344 CJZ983344:CKG983344 CTV983344:CUC983344 DDR983344:DDY983344 DNN983344:DNU983344 DXJ983344:DXQ983344 EHF983344:EHM983344 ERB983344:ERI983344 FAX983344:FBE983344 FKT983344:FLA983344 FUP983344:FUW983344 GEL983344:GES983344 GOH983344:GOO983344 GYD983344:GYK983344 HHZ983344:HIG983344 HRV983344:HSC983344 IBR983344:IBY983344 ILN983344:ILU983344 IVJ983344:IVQ983344 JFF983344:JFM983344 JPB983344:JPI983344 JYX983344:JZE983344 KIT983344:KJA983344 KSP983344:KSW983344 LCL983344:LCS983344 LMH983344:LMO983344 LWD983344:LWK983344 MFZ983344:MGG983344 MPV983344:MQC983344 MZR983344:MZY983344 NJN983344:NJU983344 NTJ983344:NTQ983344 ODF983344:ODM983344 ONB983344:ONI983344 OWX983344:OXE983344 PGT983344:PHA983344 PQP983344:PQW983344 QAL983344:QAS983344 QKH983344:QKO983344 QUD983344:QUK983344 RDZ983344:REG983344 RNV983344:ROC983344 RXR983344:RXY983344 SHN983344:SHU983344 SRJ983344:SRQ983344 TBF983344:TBM983344 TLB983344:TLI983344 TUX983344:TVE983344 UET983344:UFA983344 UOP983344:UOW983344 UYL983344:UYS983344 VIH983344:VIO983344 VSD983344:VSK983344 WBZ983344:WCG983344 WLV983344:WMC983344 WVR983344:WVY983344 JF88:JM88 TB88:TI88 ACX88:ADE88 AMT88:ANA88 AWP88:AWW88 BGL88:BGS88 BQH88:BQO88 CAD88:CAK88 CJZ88:CKG88 CTV88:CUC88 DDR88:DDY88 DNN88:DNU88 DXJ88:DXQ88 EHF88:EHM88 ERB88:ERI88 FAX88:FBE88 FKT88:FLA88 FUP88:FUW88 GEL88:GES88 GOH88:GOO88 GYD88:GYK88 HHZ88:HIG88 HRV88:HSC88 IBR88:IBY88 ILN88:ILU88 IVJ88:IVQ88 JFF88:JFM88 JPB88:JPI88 JYX88:JZE88 KIT88:KJA88 KSP88:KSW88 LCL88:LCS88 LMH88:LMO88 LWD88:LWK88 MFZ88:MGG88 MPV88:MQC88 MZR88:MZY88 NJN88:NJU88 NTJ88:NTQ88 ODF88:ODM88 ONB88:ONI88 OWX88:OXE88 PGT88:PHA88 PQP88:PQW88 QAL88:QAS88 QKH88:QKO88 QUD88:QUK88 RDZ88:REG88 RNV88:ROC88 RXR88:RXY88 SHN88:SHU88 SRJ88:SRQ88 TBF88:TBM88 TLB88:TLI88 TUX88:TVE88 UET88:UFA88 UOP88:UOW88 UYL88:UYS88 VIH88:VIO88 VSD88:VSK88 WBZ88:WCG88 WLV88:WMC88 WVR88:WVY88 JF65624:JM65624 TB65624:TI65624 ACX65624:ADE65624 AMT65624:ANA65624 AWP65624:AWW65624 BGL65624:BGS65624 BQH65624:BQO65624 CAD65624:CAK65624 CJZ65624:CKG65624 CTV65624:CUC65624 DDR65624:DDY65624 DNN65624:DNU65624 DXJ65624:DXQ65624 EHF65624:EHM65624 ERB65624:ERI65624 FAX65624:FBE65624 FKT65624:FLA65624 FUP65624:FUW65624 GEL65624:GES65624 GOH65624:GOO65624 GYD65624:GYK65624 HHZ65624:HIG65624 HRV65624:HSC65624 IBR65624:IBY65624 ILN65624:ILU65624 IVJ65624:IVQ65624 JFF65624:JFM65624 JPB65624:JPI65624 JYX65624:JZE65624 KIT65624:KJA65624 KSP65624:KSW65624 LCL65624:LCS65624 LMH65624:LMO65624 LWD65624:LWK65624 MFZ65624:MGG65624 MPV65624:MQC65624 MZR65624:MZY65624 NJN65624:NJU65624 NTJ65624:NTQ65624 ODF65624:ODM65624 ONB65624:ONI65624 OWX65624:OXE65624 PGT65624:PHA65624 PQP65624:PQW65624 QAL65624:QAS65624 QKH65624:QKO65624 QUD65624:QUK65624 RDZ65624:REG65624 RNV65624:ROC65624 RXR65624:RXY65624 SHN65624:SHU65624 SRJ65624:SRQ65624 TBF65624:TBM65624 TLB65624:TLI65624 TUX65624:TVE65624 UET65624:UFA65624 UOP65624:UOW65624 UYL65624:UYS65624 VIH65624:VIO65624 VSD65624:VSK65624 WBZ65624:WCG65624 WLV65624:WMC65624 WVR65624:WVY65624 JF131160:JM131160 TB131160:TI131160 ACX131160:ADE131160 AMT131160:ANA131160 AWP131160:AWW131160 BGL131160:BGS131160 BQH131160:BQO131160 CAD131160:CAK131160 CJZ131160:CKG131160 CTV131160:CUC131160 DDR131160:DDY131160 DNN131160:DNU131160 DXJ131160:DXQ131160 EHF131160:EHM131160 ERB131160:ERI131160 FAX131160:FBE131160 FKT131160:FLA131160 FUP131160:FUW131160 GEL131160:GES131160 GOH131160:GOO131160 GYD131160:GYK131160 HHZ131160:HIG131160 HRV131160:HSC131160 IBR131160:IBY131160 ILN131160:ILU131160 IVJ131160:IVQ131160 JFF131160:JFM131160 JPB131160:JPI131160 JYX131160:JZE131160 KIT131160:KJA131160 KSP131160:KSW131160 LCL131160:LCS131160 LMH131160:LMO131160 LWD131160:LWK131160 MFZ131160:MGG131160 MPV131160:MQC131160 MZR131160:MZY131160 NJN131160:NJU131160 NTJ131160:NTQ131160 ODF131160:ODM131160 ONB131160:ONI131160 OWX131160:OXE131160 PGT131160:PHA131160 PQP131160:PQW131160 QAL131160:QAS131160 QKH131160:QKO131160 QUD131160:QUK131160 RDZ131160:REG131160 RNV131160:ROC131160 RXR131160:RXY131160 SHN131160:SHU131160 SRJ131160:SRQ131160 TBF131160:TBM131160 TLB131160:TLI131160 TUX131160:TVE131160 UET131160:UFA131160 UOP131160:UOW131160 UYL131160:UYS131160 VIH131160:VIO131160 VSD131160:VSK131160 WBZ131160:WCG131160 WLV131160:WMC131160 WVR131160:WVY131160 JF196696:JM196696 TB196696:TI196696 ACX196696:ADE196696 AMT196696:ANA196696 AWP196696:AWW196696 BGL196696:BGS196696 BQH196696:BQO196696 CAD196696:CAK196696 CJZ196696:CKG196696 CTV196696:CUC196696 DDR196696:DDY196696 DNN196696:DNU196696 DXJ196696:DXQ196696 EHF196696:EHM196696 ERB196696:ERI196696 FAX196696:FBE196696 FKT196696:FLA196696 FUP196696:FUW196696 GEL196696:GES196696 GOH196696:GOO196696 GYD196696:GYK196696 HHZ196696:HIG196696 HRV196696:HSC196696 IBR196696:IBY196696 ILN196696:ILU196696 IVJ196696:IVQ196696 JFF196696:JFM196696 JPB196696:JPI196696 JYX196696:JZE196696 KIT196696:KJA196696 KSP196696:KSW196696 LCL196696:LCS196696 LMH196696:LMO196696 LWD196696:LWK196696 MFZ196696:MGG196696 MPV196696:MQC196696 MZR196696:MZY196696 NJN196696:NJU196696 NTJ196696:NTQ196696 ODF196696:ODM196696 ONB196696:ONI196696 OWX196696:OXE196696 PGT196696:PHA196696 PQP196696:PQW196696 QAL196696:QAS196696 QKH196696:QKO196696 QUD196696:QUK196696 RDZ196696:REG196696 RNV196696:ROC196696 RXR196696:RXY196696 SHN196696:SHU196696 SRJ196696:SRQ196696 TBF196696:TBM196696 TLB196696:TLI196696 TUX196696:TVE196696 UET196696:UFA196696 UOP196696:UOW196696 UYL196696:UYS196696 VIH196696:VIO196696 VSD196696:VSK196696 WBZ196696:WCG196696 WLV196696:WMC196696 WVR196696:WVY196696 JF262232:JM262232 TB262232:TI262232 ACX262232:ADE262232 AMT262232:ANA262232 AWP262232:AWW262232 BGL262232:BGS262232 BQH262232:BQO262232 CAD262232:CAK262232 CJZ262232:CKG262232 CTV262232:CUC262232 DDR262232:DDY262232 DNN262232:DNU262232 DXJ262232:DXQ262232 EHF262232:EHM262232 ERB262232:ERI262232 FAX262232:FBE262232 FKT262232:FLA262232 FUP262232:FUW262232 GEL262232:GES262232 GOH262232:GOO262232 GYD262232:GYK262232 HHZ262232:HIG262232 HRV262232:HSC262232 IBR262232:IBY262232 ILN262232:ILU262232 IVJ262232:IVQ262232 JFF262232:JFM262232 JPB262232:JPI262232 JYX262232:JZE262232 KIT262232:KJA262232 KSP262232:KSW262232 LCL262232:LCS262232 LMH262232:LMO262232 LWD262232:LWK262232 MFZ262232:MGG262232 MPV262232:MQC262232 MZR262232:MZY262232 NJN262232:NJU262232 NTJ262232:NTQ262232 ODF262232:ODM262232 ONB262232:ONI262232 OWX262232:OXE262232 PGT262232:PHA262232 PQP262232:PQW262232 QAL262232:QAS262232 QKH262232:QKO262232 QUD262232:QUK262232 RDZ262232:REG262232 RNV262232:ROC262232 RXR262232:RXY262232 SHN262232:SHU262232 SRJ262232:SRQ262232 TBF262232:TBM262232 TLB262232:TLI262232 TUX262232:TVE262232 UET262232:UFA262232 UOP262232:UOW262232 UYL262232:UYS262232 VIH262232:VIO262232 VSD262232:VSK262232 WBZ262232:WCG262232 WLV262232:WMC262232 WVR262232:WVY262232 JF327768:JM327768 TB327768:TI327768 ACX327768:ADE327768 AMT327768:ANA327768 AWP327768:AWW327768 BGL327768:BGS327768 BQH327768:BQO327768 CAD327768:CAK327768 CJZ327768:CKG327768 CTV327768:CUC327768 DDR327768:DDY327768 DNN327768:DNU327768 DXJ327768:DXQ327768 EHF327768:EHM327768 ERB327768:ERI327768 FAX327768:FBE327768 FKT327768:FLA327768 FUP327768:FUW327768 GEL327768:GES327768 GOH327768:GOO327768 GYD327768:GYK327768 HHZ327768:HIG327768 HRV327768:HSC327768 IBR327768:IBY327768 ILN327768:ILU327768 IVJ327768:IVQ327768 JFF327768:JFM327768 JPB327768:JPI327768 JYX327768:JZE327768 KIT327768:KJA327768 KSP327768:KSW327768 LCL327768:LCS327768 LMH327768:LMO327768 LWD327768:LWK327768 MFZ327768:MGG327768 MPV327768:MQC327768 MZR327768:MZY327768 NJN327768:NJU327768 NTJ327768:NTQ327768 ODF327768:ODM327768 ONB327768:ONI327768 OWX327768:OXE327768 PGT327768:PHA327768 PQP327768:PQW327768 QAL327768:QAS327768 QKH327768:QKO327768 QUD327768:QUK327768 RDZ327768:REG327768 RNV327768:ROC327768 RXR327768:RXY327768 SHN327768:SHU327768 SRJ327768:SRQ327768 TBF327768:TBM327768 TLB327768:TLI327768 TUX327768:TVE327768 UET327768:UFA327768 UOP327768:UOW327768 UYL327768:UYS327768 VIH327768:VIO327768 VSD327768:VSK327768 WBZ327768:WCG327768 WLV327768:WMC327768 WVR327768:WVY327768 JF393304:JM393304 TB393304:TI393304 ACX393304:ADE393304 AMT393304:ANA393304 AWP393304:AWW393304 BGL393304:BGS393304 BQH393304:BQO393304 CAD393304:CAK393304 CJZ393304:CKG393304 CTV393304:CUC393304 DDR393304:DDY393304 DNN393304:DNU393304 DXJ393304:DXQ393304 EHF393304:EHM393304 ERB393304:ERI393304 FAX393304:FBE393304 FKT393304:FLA393304 FUP393304:FUW393304 GEL393304:GES393304 GOH393304:GOO393304 GYD393304:GYK393304 HHZ393304:HIG393304 HRV393304:HSC393304 IBR393304:IBY393304 ILN393304:ILU393304 IVJ393304:IVQ393304 JFF393304:JFM393304 JPB393304:JPI393304 JYX393304:JZE393304 KIT393304:KJA393304 KSP393304:KSW393304 LCL393304:LCS393304 LMH393304:LMO393304 LWD393304:LWK393304 MFZ393304:MGG393304 MPV393304:MQC393304 MZR393304:MZY393304 NJN393304:NJU393304 NTJ393304:NTQ393304 ODF393304:ODM393304 ONB393304:ONI393304 OWX393304:OXE393304 PGT393304:PHA393304 PQP393304:PQW393304 QAL393304:QAS393304 QKH393304:QKO393304 QUD393304:QUK393304 RDZ393304:REG393304 RNV393304:ROC393304 RXR393304:RXY393304 SHN393304:SHU393304 SRJ393304:SRQ393304 TBF393304:TBM393304 TLB393304:TLI393304 TUX393304:TVE393304 UET393304:UFA393304 UOP393304:UOW393304 UYL393304:UYS393304 VIH393304:VIO393304 VSD393304:VSK393304 WBZ393304:WCG393304 WLV393304:WMC393304 WVR393304:WVY393304 JF458840:JM458840 TB458840:TI458840 ACX458840:ADE458840 AMT458840:ANA458840 AWP458840:AWW458840 BGL458840:BGS458840 BQH458840:BQO458840 CAD458840:CAK458840 CJZ458840:CKG458840 CTV458840:CUC458840 DDR458840:DDY458840 DNN458840:DNU458840 DXJ458840:DXQ458840 EHF458840:EHM458840 ERB458840:ERI458840 FAX458840:FBE458840 FKT458840:FLA458840 FUP458840:FUW458840 GEL458840:GES458840 GOH458840:GOO458840 GYD458840:GYK458840 HHZ458840:HIG458840 HRV458840:HSC458840 IBR458840:IBY458840 ILN458840:ILU458840 IVJ458840:IVQ458840 JFF458840:JFM458840 JPB458840:JPI458840 JYX458840:JZE458840 KIT458840:KJA458840 KSP458840:KSW458840 LCL458840:LCS458840 LMH458840:LMO458840 LWD458840:LWK458840 MFZ458840:MGG458840 MPV458840:MQC458840 MZR458840:MZY458840 NJN458840:NJU458840 NTJ458840:NTQ458840 ODF458840:ODM458840 ONB458840:ONI458840 OWX458840:OXE458840 PGT458840:PHA458840 PQP458840:PQW458840 QAL458840:QAS458840 QKH458840:QKO458840 QUD458840:QUK458840 RDZ458840:REG458840 RNV458840:ROC458840 RXR458840:RXY458840 SHN458840:SHU458840 SRJ458840:SRQ458840 TBF458840:TBM458840 TLB458840:TLI458840 TUX458840:TVE458840 UET458840:UFA458840 UOP458840:UOW458840 UYL458840:UYS458840 VIH458840:VIO458840 VSD458840:VSK458840 WBZ458840:WCG458840 WLV458840:WMC458840 WVR458840:WVY458840 JF524376:JM524376 TB524376:TI524376 ACX524376:ADE524376 AMT524376:ANA524376 AWP524376:AWW524376 BGL524376:BGS524376 BQH524376:BQO524376 CAD524376:CAK524376 CJZ524376:CKG524376 CTV524376:CUC524376 DDR524376:DDY524376 DNN524376:DNU524376 DXJ524376:DXQ524376 EHF524376:EHM524376 ERB524376:ERI524376 FAX524376:FBE524376 FKT524376:FLA524376 FUP524376:FUW524376 GEL524376:GES524376 GOH524376:GOO524376 GYD524376:GYK524376 HHZ524376:HIG524376 HRV524376:HSC524376 IBR524376:IBY524376 ILN524376:ILU524376 IVJ524376:IVQ524376 JFF524376:JFM524376 JPB524376:JPI524376 JYX524376:JZE524376 KIT524376:KJA524376 KSP524376:KSW524376 LCL524376:LCS524376 LMH524376:LMO524376 LWD524376:LWK524376 MFZ524376:MGG524376 MPV524376:MQC524376 MZR524376:MZY524376 NJN524376:NJU524376 NTJ524376:NTQ524376 ODF524376:ODM524376 ONB524376:ONI524376 OWX524376:OXE524376 PGT524376:PHA524376 PQP524376:PQW524376 QAL524376:QAS524376 QKH524376:QKO524376 QUD524376:QUK524376 RDZ524376:REG524376 RNV524376:ROC524376 RXR524376:RXY524376 SHN524376:SHU524376 SRJ524376:SRQ524376 TBF524376:TBM524376 TLB524376:TLI524376 TUX524376:TVE524376 UET524376:UFA524376 UOP524376:UOW524376 UYL524376:UYS524376 VIH524376:VIO524376 VSD524376:VSK524376 WBZ524376:WCG524376 WLV524376:WMC524376 WVR524376:WVY524376 JF589912:JM589912 TB589912:TI589912 ACX589912:ADE589912 AMT589912:ANA589912 AWP589912:AWW589912 BGL589912:BGS589912 BQH589912:BQO589912 CAD589912:CAK589912 CJZ589912:CKG589912 CTV589912:CUC589912 DDR589912:DDY589912 DNN589912:DNU589912 DXJ589912:DXQ589912 EHF589912:EHM589912 ERB589912:ERI589912 FAX589912:FBE589912 FKT589912:FLA589912 FUP589912:FUW589912 GEL589912:GES589912 GOH589912:GOO589912 GYD589912:GYK589912 HHZ589912:HIG589912 HRV589912:HSC589912 IBR589912:IBY589912 ILN589912:ILU589912 IVJ589912:IVQ589912 JFF589912:JFM589912 JPB589912:JPI589912 JYX589912:JZE589912 KIT589912:KJA589912 KSP589912:KSW589912 LCL589912:LCS589912 LMH589912:LMO589912 LWD589912:LWK589912 MFZ589912:MGG589912 MPV589912:MQC589912 MZR589912:MZY589912 NJN589912:NJU589912 NTJ589912:NTQ589912 ODF589912:ODM589912 ONB589912:ONI589912 OWX589912:OXE589912 PGT589912:PHA589912 PQP589912:PQW589912 QAL589912:QAS589912 QKH589912:QKO589912 QUD589912:QUK589912 RDZ589912:REG589912 RNV589912:ROC589912 RXR589912:RXY589912 SHN589912:SHU589912 SRJ589912:SRQ589912 TBF589912:TBM589912 TLB589912:TLI589912 TUX589912:TVE589912 UET589912:UFA589912 UOP589912:UOW589912 UYL589912:UYS589912 VIH589912:VIO589912 VSD589912:VSK589912 WBZ589912:WCG589912 WLV589912:WMC589912 WVR589912:WVY589912 JF655448:JM655448 TB655448:TI655448 ACX655448:ADE655448 AMT655448:ANA655448 AWP655448:AWW655448 BGL655448:BGS655448 BQH655448:BQO655448 CAD655448:CAK655448 CJZ655448:CKG655448 CTV655448:CUC655448 DDR655448:DDY655448 DNN655448:DNU655448 DXJ655448:DXQ655448 EHF655448:EHM655448 ERB655448:ERI655448 FAX655448:FBE655448 FKT655448:FLA655448 FUP655448:FUW655448 GEL655448:GES655448 GOH655448:GOO655448 GYD655448:GYK655448 HHZ655448:HIG655448 HRV655448:HSC655448 IBR655448:IBY655448 ILN655448:ILU655448 IVJ655448:IVQ655448 JFF655448:JFM655448 JPB655448:JPI655448 JYX655448:JZE655448 KIT655448:KJA655448 KSP655448:KSW655448 LCL655448:LCS655448 LMH655448:LMO655448 LWD655448:LWK655448 MFZ655448:MGG655448 MPV655448:MQC655448 MZR655448:MZY655448 NJN655448:NJU655448 NTJ655448:NTQ655448 ODF655448:ODM655448 ONB655448:ONI655448 OWX655448:OXE655448 PGT655448:PHA655448 PQP655448:PQW655448 QAL655448:QAS655448 QKH655448:QKO655448 QUD655448:QUK655448 RDZ655448:REG655448 RNV655448:ROC655448 RXR655448:RXY655448 SHN655448:SHU655448 SRJ655448:SRQ655448 TBF655448:TBM655448 TLB655448:TLI655448 TUX655448:TVE655448 UET655448:UFA655448 UOP655448:UOW655448 UYL655448:UYS655448 VIH655448:VIO655448 VSD655448:VSK655448 WBZ655448:WCG655448 WLV655448:WMC655448 WVR655448:WVY655448 JF720984:JM720984 TB720984:TI720984 ACX720984:ADE720984 AMT720984:ANA720984 AWP720984:AWW720984 BGL720984:BGS720984 BQH720984:BQO720984 CAD720984:CAK720984 CJZ720984:CKG720984 CTV720984:CUC720984 DDR720984:DDY720984 DNN720984:DNU720984 DXJ720984:DXQ720984 EHF720984:EHM720984 ERB720984:ERI720984 FAX720984:FBE720984 FKT720984:FLA720984 FUP720984:FUW720984 GEL720984:GES720984 GOH720984:GOO720984 GYD720984:GYK720984 HHZ720984:HIG720984 HRV720984:HSC720984 IBR720984:IBY720984 ILN720984:ILU720984 IVJ720984:IVQ720984 JFF720984:JFM720984 JPB720984:JPI720984 JYX720984:JZE720984 KIT720984:KJA720984 KSP720984:KSW720984 LCL720984:LCS720984 LMH720984:LMO720984 LWD720984:LWK720984 MFZ720984:MGG720984 MPV720984:MQC720984 MZR720984:MZY720984 NJN720984:NJU720984 NTJ720984:NTQ720984 ODF720984:ODM720984 ONB720984:ONI720984 OWX720984:OXE720984 PGT720984:PHA720984 PQP720984:PQW720984 QAL720984:QAS720984 QKH720984:QKO720984 QUD720984:QUK720984 RDZ720984:REG720984 RNV720984:ROC720984 RXR720984:RXY720984 SHN720984:SHU720984 SRJ720984:SRQ720984 TBF720984:TBM720984 TLB720984:TLI720984 TUX720984:TVE720984 UET720984:UFA720984 UOP720984:UOW720984 UYL720984:UYS720984 VIH720984:VIO720984 VSD720984:VSK720984 WBZ720984:WCG720984 WLV720984:WMC720984 WVR720984:WVY720984 JF786520:JM786520 TB786520:TI786520 ACX786520:ADE786520 AMT786520:ANA786520 AWP786520:AWW786520 BGL786520:BGS786520 BQH786520:BQO786520 CAD786520:CAK786520 CJZ786520:CKG786520 CTV786520:CUC786520 DDR786520:DDY786520 DNN786520:DNU786520 DXJ786520:DXQ786520 EHF786520:EHM786520 ERB786520:ERI786520 FAX786520:FBE786520 FKT786520:FLA786520 FUP786520:FUW786520 GEL786520:GES786520 GOH786520:GOO786520 GYD786520:GYK786520 HHZ786520:HIG786520 HRV786520:HSC786520 IBR786520:IBY786520 ILN786520:ILU786520 IVJ786520:IVQ786520 JFF786520:JFM786520 JPB786520:JPI786520 JYX786520:JZE786520 KIT786520:KJA786520 KSP786520:KSW786520 LCL786520:LCS786520 LMH786520:LMO786520 LWD786520:LWK786520 MFZ786520:MGG786520 MPV786520:MQC786520 MZR786520:MZY786520 NJN786520:NJU786520 NTJ786520:NTQ786520 ODF786520:ODM786520 ONB786520:ONI786520 OWX786520:OXE786520 PGT786520:PHA786520 PQP786520:PQW786520 QAL786520:QAS786520 QKH786520:QKO786520 QUD786520:QUK786520 RDZ786520:REG786520 RNV786520:ROC786520 RXR786520:RXY786520 SHN786520:SHU786520 SRJ786520:SRQ786520 TBF786520:TBM786520 TLB786520:TLI786520 TUX786520:TVE786520 UET786520:UFA786520 UOP786520:UOW786520 UYL786520:UYS786520 VIH786520:VIO786520 VSD786520:VSK786520 WBZ786520:WCG786520 WLV786520:WMC786520 WVR786520:WVY786520 JF852056:JM852056 TB852056:TI852056 ACX852056:ADE852056 AMT852056:ANA852056 AWP852056:AWW852056 BGL852056:BGS852056 BQH852056:BQO852056 CAD852056:CAK852056 CJZ852056:CKG852056 CTV852056:CUC852056 DDR852056:DDY852056 DNN852056:DNU852056 DXJ852056:DXQ852056 EHF852056:EHM852056 ERB852056:ERI852056 FAX852056:FBE852056 FKT852056:FLA852056 FUP852056:FUW852056 GEL852056:GES852056 GOH852056:GOO852056 GYD852056:GYK852056 HHZ852056:HIG852056 HRV852056:HSC852056 IBR852056:IBY852056 ILN852056:ILU852056 IVJ852056:IVQ852056 JFF852056:JFM852056 JPB852056:JPI852056 JYX852056:JZE852056 KIT852056:KJA852056 KSP852056:KSW852056 LCL852056:LCS852056 LMH852056:LMO852056 LWD852056:LWK852056 MFZ852056:MGG852056 MPV852056:MQC852056 MZR852056:MZY852056 NJN852056:NJU852056 NTJ852056:NTQ852056 ODF852056:ODM852056 ONB852056:ONI852056 OWX852056:OXE852056 PGT852056:PHA852056 PQP852056:PQW852056 QAL852056:QAS852056 QKH852056:QKO852056 QUD852056:QUK852056 RDZ852056:REG852056 RNV852056:ROC852056 RXR852056:RXY852056 SHN852056:SHU852056 SRJ852056:SRQ852056 TBF852056:TBM852056 TLB852056:TLI852056 TUX852056:TVE852056 UET852056:UFA852056 UOP852056:UOW852056 UYL852056:UYS852056 VIH852056:VIO852056 VSD852056:VSK852056 WBZ852056:WCG852056 WLV852056:WMC852056 WVR852056:WVY852056 JF917592:JM917592 TB917592:TI917592 ACX917592:ADE917592 AMT917592:ANA917592 AWP917592:AWW917592 BGL917592:BGS917592 BQH917592:BQO917592 CAD917592:CAK917592 CJZ917592:CKG917592 CTV917592:CUC917592 DDR917592:DDY917592 DNN917592:DNU917592 DXJ917592:DXQ917592 EHF917592:EHM917592 ERB917592:ERI917592 FAX917592:FBE917592 FKT917592:FLA917592 FUP917592:FUW917592 GEL917592:GES917592 GOH917592:GOO917592 GYD917592:GYK917592 HHZ917592:HIG917592 HRV917592:HSC917592 IBR917592:IBY917592 ILN917592:ILU917592 IVJ917592:IVQ917592 JFF917592:JFM917592 JPB917592:JPI917592 JYX917592:JZE917592 KIT917592:KJA917592 KSP917592:KSW917592 LCL917592:LCS917592 LMH917592:LMO917592 LWD917592:LWK917592 MFZ917592:MGG917592 MPV917592:MQC917592 MZR917592:MZY917592 NJN917592:NJU917592 NTJ917592:NTQ917592 ODF917592:ODM917592 ONB917592:ONI917592 OWX917592:OXE917592 PGT917592:PHA917592 PQP917592:PQW917592 QAL917592:QAS917592 QKH917592:QKO917592 QUD917592:QUK917592 RDZ917592:REG917592 RNV917592:ROC917592 RXR917592:RXY917592 SHN917592:SHU917592 SRJ917592:SRQ917592 TBF917592:TBM917592 TLB917592:TLI917592 TUX917592:TVE917592 UET917592:UFA917592 UOP917592:UOW917592 UYL917592:UYS917592 VIH917592:VIO917592 VSD917592:VSK917592 WBZ917592:WCG917592 WLV917592:WMC917592 WVR917592:WVY917592 JF983128:JM983128 TB983128:TI983128 ACX983128:ADE983128 AMT983128:ANA983128 AWP983128:AWW983128 BGL983128:BGS983128 BQH983128:BQO983128 CAD983128:CAK983128 CJZ983128:CKG983128 CTV983128:CUC983128 DDR983128:DDY983128 DNN983128:DNU983128 DXJ983128:DXQ983128 EHF983128:EHM983128 ERB983128:ERI983128 FAX983128:FBE983128 FKT983128:FLA983128 FUP983128:FUW983128 GEL983128:GES983128 GOH983128:GOO983128 GYD983128:GYK983128 HHZ983128:HIG983128 HRV983128:HSC983128 IBR983128:IBY983128 ILN983128:ILU983128 IVJ983128:IVQ983128 JFF983128:JFM983128 JPB983128:JPI983128 JYX983128:JZE983128 KIT983128:KJA983128 KSP983128:KSW983128 LCL983128:LCS983128 LMH983128:LMO983128 LWD983128:LWK983128 MFZ983128:MGG983128 MPV983128:MQC983128 MZR983128:MZY983128 NJN983128:NJU983128 NTJ983128:NTQ983128 ODF983128:ODM983128 ONB983128:ONI983128 OWX983128:OXE983128 PGT983128:PHA983128 PQP983128:PQW983128 QAL983128:QAS983128 QKH983128:QKO983128 QUD983128:QUK983128 RDZ983128:REG983128 RNV983128:ROC983128 RXR983128:RXY983128 SHN983128:SHU983128 SRJ983128:SRQ983128 TBF983128:TBM983128 TLB983128:TLI983128 TUX983128:TVE983128 UET983128:UFA983128 UOP983128:UOW983128 UYL983128:UYS983128 VIH983128:VIO983128 VSD983128:VSK983128 WBZ983128:WCG983128 WLV983128:WMC983128 WVR983128:WVY983128 JF10:JM10 TB10:TI10 ACX10:ADE10 AMT10:ANA10 AWP10:AWW10 BGL10:BGS10 BQH10:BQO10 CAD10:CAK10 CJZ10:CKG10 CTV10:CUC10 DDR10:DDY10 DNN10:DNU10 DXJ10:DXQ10 EHF10:EHM10 ERB10:ERI10 FAX10:FBE10 FKT10:FLA10 FUP10:FUW10 GEL10:GES10 GOH10:GOO10 GYD10:GYK10 HHZ10:HIG10 HRV10:HSC10 IBR10:IBY10 ILN10:ILU10 IVJ10:IVQ10 JFF10:JFM10 JPB10:JPI10 JYX10:JZE10 KIT10:KJA10 KSP10:KSW10 LCL10:LCS10 LMH10:LMO10 LWD10:LWK10 MFZ10:MGG10 MPV10:MQC10 MZR10:MZY10 NJN10:NJU10 NTJ10:NTQ10 ODF10:ODM10 ONB10:ONI10 OWX10:OXE10 PGT10:PHA10 PQP10:PQW10 QAL10:QAS10 QKH10:QKO10 QUD10:QUK10 RDZ10:REG10 RNV10:ROC10 RXR10:RXY10 SHN10:SHU10 SRJ10:SRQ10 TBF10:TBM10 TLB10:TLI10 TUX10:TVE10 UET10:UFA10 UOP10:UOW10 UYL10:UYS10 VIH10:VIO10 VSD10:VSK10 WBZ10:WCG10 WLV10:WMC10 WVR10:WVY10 JF65546:JM65546 TB65546:TI65546 ACX65546:ADE65546 AMT65546:ANA65546 AWP65546:AWW65546 BGL65546:BGS65546 BQH65546:BQO65546 CAD65546:CAK65546 CJZ65546:CKG65546 CTV65546:CUC65546 DDR65546:DDY65546 DNN65546:DNU65546 DXJ65546:DXQ65546 EHF65546:EHM65546 ERB65546:ERI65546 FAX65546:FBE65546 FKT65546:FLA65546 FUP65546:FUW65546 GEL65546:GES65546 GOH65546:GOO65546 GYD65546:GYK65546 HHZ65546:HIG65546 HRV65546:HSC65546 IBR65546:IBY65546 ILN65546:ILU65546 IVJ65546:IVQ65546 JFF65546:JFM65546 JPB65546:JPI65546 JYX65546:JZE65546 KIT65546:KJA65546 KSP65546:KSW65546 LCL65546:LCS65546 LMH65546:LMO65546 LWD65546:LWK65546 MFZ65546:MGG65546 MPV65546:MQC65546 MZR65546:MZY65546 NJN65546:NJU65546 NTJ65546:NTQ65546 ODF65546:ODM65546 ONB65546:ONI65546 OWX65546:OXE65546 PGT65546:PHA65546 PQP65546:PQW65546 QAL65546:QAS65546 QKH65546:QKO65546 QUD65546:QUK65546 RDZ65546:REG65546 RNV65546:ROC65546 RXR65546:RXY65546 SHN65546:SHU65546 SRJ65546:SRQ65546 TBF65546:TBM65546 TLB65546:TLI65546 TUX65546:TVE65546 UET65546:UFA65546 UOP65546:UOW65546 UYL65546:UYS65546 VIH65546:VIO65546 VSD65546:VSK65546 WBZ65546:WCG65546 WLV65546:WMC65546 WVR65546:WVY65546 JF131082:JM131082 TB131082:TI131082 ACX131082:ADE131082 AMT131082:ANA131082 AWP131082:AWW131082 BGL131082:BGS131082 BQH131082:BQO131082 CAD131082:CAK131082 CJZ131082:CKG131082 CTV131082:CUC131082 DDR131082:DDY131082 DNN131082:DNU131082 DXJ131082:DXQ131082 EHF131082:EHM131082 ERB131082:ERI131082 FAX131082:FBE131082 FKT131082:FLA131082 FUP131082:FUW131082 GEL131082:GES131082 GOH131082:GOO131082 GYD131082:GYK131082 HHZ131082:HIG131082 HRV131082:HSC131082 IBR131082:IBY131082 ILN131082:ILU131082 IVJ131082:IVQ131082 JFF131082:JFM131082 JPB131082:JPI131082 JYX131082:JZE131082 KIT131082:KJA131082 KSP131082:KSW131082 LCL131082:LCS131082 LMH131082:LMO131082 LWD131082:LWK131082 MFZ131082:MGG131082 MPV131082:MQC131082 MZR131082:MZY131082 NJN131082:NJU131082 NTJ131082:NTQ131082 ODF131082:ODM131082 ONB131082:ONI131082 OWX131082:OXE131082 PGT131082:PHA131082 PQP131082:PQW131082 QAL131082:QAS131082 QKH131082:QKO131082 QUD131082:QUK131082 RDZ131082:REG131082 RNV131082:ROC131082 RXR131082:RXY131082 SHN131082:SHU131082 SRJ131082:SRQ131082 TBF131082:TBM131082 TLB131082:TLI131082 TUX131082:TVE131082 UET131082:UFA131082 UOP131082:UOW131082 UYL131082:UYS131082 VIH131082:VIO131082 VSD131082:VSK131082 WBZ131082:WCG131082 WLV131082:WMC131082 WVR131082:WVY131082 JF196618:JM196618 TB196618:TI196618 ACX196618:ADE196618 AMT196618:ANA196618 AWP196618:AWW196618 BGL196618:BGS196618 BQH196618:BQO196618 CAD196618:CAK196618 CJZ196618:CKG196618 CTV196618:CUC196618 DDR196618:DDY196618 DNN196618:DNU196618 DXJ196618:DXQ196618 EHF196618:EHM196618 ERB196618:ERI196618 FAX196618:FBE196618 FKT196618:FLA196618 FUP196618:FUW196618 GEL196618:GES196618 GOH196618:GOO196618 GYD196618:GYK196618 HHZ196618:HIG196618 HRV196618:HSC196618 IBR196618:IBY196618 ILN196618:ILU196618 IVJ196618:IVQ196618 JFF196618:JFM196618 JPB196618:JPI196618 JYX196618:JZE196618 KIT196618:KJA196618 KSP196618:KSW196618 LCL196618:LCS196618 LMH196618:LMO196618 LWD196618:LWK196618 MFZ196618:MGG196618 MPV196618:MQC196618 MZR196618:MZY196618 NJN196618:NJU196618 NTJ196618:NTQ196618 ODF196618:ODM196618 ONB196618:ONI196618 OWX196618:OXE196618 PGT196618:PHA196618 PQP196618:PQW196618 QAL196618:QAS196618 QKH196618:QKO196618 QUD196618:QUK196618 RDZ196618:REG196618 RNV196618:ROC196618 RXR196618:RXY196618 SHN196618:SHU196618 SRJ196618:SRQ196618 TBF196618:TBM196618 TLB196618:TLI196618 TUX196618:TVE196618 UET196618:UFA196618 UOP196618:UOW196618 UYL196618:UYS196618 VIH196618:VIO196618 VSD196618:VSK196618 WBZ196618:WCG196618 WLV196618:WMC196618 WVR196618:WVY196618 JF262154:JM262154 TB262154:TI262154 ACX262154:ADE262154 AMT262154:ANA262154 AWP262154:AWW262154 BGL262154:BGS262154 BQH262154:BQO262154 CAD262154:CAK262154 CJZ262154:CKG262154 CTV262154:CUC262154 DDR262154:DDY262154 DNN262154:DNU262154 DXJ262154:DXQ262154 EHF262154:EHM262154 ERB262154:ERI262154 FAX262154:FBE262154 FKT262154:FLA262154 FUP262154:FUW262154 GEL262154:GES262154 GOH262154:GOO262154 GYD262154:GYK262154 HHZ262154:HIG262154 HRV262154:HSC262154 IBR262154:IBY262154 ILN262154:ILU262154 IVJ262154:IVQ262154 JFF262154:JFM262154 JPB262154:JPI262154 JYX262154:JZE262154 KIT262154:KJA262154 KSP262154:KSW262154 LCL262154:LCS262154 LMH262154:LMO262154 LWD262154:LWK262154 MFZ262154:MGG262154 MPV262154:MQC262154 MZR262154:MZY262154 NJN262154:NJU262154 NTJ262154:NTQ262154 ODF262154:ODM262154 ONB262154:ONI262154 OWX262154:OXE262154 PGT262154:PHA262154 PQP262154:PQW262154 QAL262154:QAS262154 QKH262154:QKO262154 QUD262154:QUK262154 RDZ262154:REG262154 RNV262154:ROC262154 RXR262154:RXY262154 SHN262154:SHU262154 SRJ262154:SRQ262154 TBF262154:TBM262154 TLB262154:TLI262154 TUX262154:TVE262154 UET262154:UFA262154 UOP262154:UOW262154 UYL262154:UYS262154 VIH262154:VIO262154 VSD262154:VSK262154 WBZ262154:WCG262154 WLV262154:WMC262154 WVR262154:WVY262154 JF327690:JM327690 TB327690:TI327690 ACX327690:ADE327690 AMT327690:ANA327690 AWP327690:AWW327690 BGL327690:BGS327690 BQH327690:BQO327690 CAD327690:CAK327690 CJZ327690:CKG327690 CTV327690:CUC327690 DDR327690:DDY327690 DNN327690:DNU327690 DXJ327690:DXQ327690 EHF327690:EHM327690 ERB327690:ERI327690 FAX327690:FBE327690 FKT327690:FLA327690 FUP327690:FUW327690 GEL327690:GES327690 GOH327690:GOO327690 GYD327690:GYK327690 HHZ327690:HIG327690 HRV327690:HSC327690 IBR327690:IBY327690 ILN327690:ILU327690 IVJ327690:IVQ327690 JFF327690:JFM327690 JPB327690:JPI327690 JYX327690:JZE327690 KIT327690:KJA327690 KSP327690:KSW327690 LCL327690:LCS327690 LMH327690:LMO327690 LWD327690:LWK327690 MFZ327690:MGG327690 MPV327690:MQC327690 MZR327690:MZY327690 NJN327690:NJU327690 NTJ327690:NTQ327690 ODF327690:ODM327690 ONB327690:ONI327690 OWX327690:OXE327690 PGT327690:PHA327690 PQP327690:PQW327690 QAL327690:QAS327690 QKH327690:QKO327690 QUD327690:QUK327690 RDZ327690:REG327690 RNV327690:ROC327690 RXR327690:RXY327690 SHN327690:SHU327690 SRJ327690:SRQ327690 TBF327690:TBM327690 TLB327690:TLI327690 TUX327690:TVE327690 UET327690:UFA327690 UOP327690:UOW327690 UYL327690:UYS327690 VIH327690:VIO327690 VSD327690:VSK327690 WBZ327690:WCG327690 WLV327690:WMC327690 WVR327690:WVY327690 JF393226:JM393226 TB393226:TI393226 ACX393226:ADE393226 AMT393226:ANA393226 AWP393226:AWW393226 BGL393226:BGS393226 BQH393226:BQO393226 CAD393226:CAK393226 CJZ393226:CKG393226 CTV393226:CUC393226 DDR393226:DDY393226 DNN393226:DNU393226 DXJ393226:DXQ393226 EHF393226:EHM393226 ERB393226:ERI393226 FAX393226:FBE393226 FKT393226:FLA393226 FUP393226:FUW393226 GEL393226:GES393226 GOH393226:GOO393226 GYD393226:GYK393226 HHZ393226:HIG393226 HRV393226:HSC393226 IBR393226:IBY393226 ILN393226:ILU393226 IVJ393226:IVQ393226 JFF393226:JFM393226 JPB393226:JPI393226 JYX393226:JZE393226 KIT393226:KJA393226 KSP393226:KSW393226 LCL393226:LCS393226 LMH393226:LMO393226 LWD393226:LWK393226 MFZ393226:MGG393226 MPV393226:MQC393226 MZR393226:MZY393226 NJN393226:NJU393226 NTJ393226:NTQ393226 ODF393226:ODM393226 ONB393226:ONI393226 OWX393226:OXE393226 PGT393226:PHA393226 PQP393226:PQW393226 QAL393226:QAS393226 QKH393226:QKO393226 QUD393226:QUK393226 RDZ393226:REG393226 RNV393226:ROC393226 RXR393226:RXY393226 SHN393226:SHU393226 SRJ393226:SRQ393226 TBF393226:TBM393226 TLB393226:TLI393226 TUX393226:TVE393226 UET393226:UFA393226 UOP393226:UOW393226 UYL393226:UYS393226 VIH393226:VIO393226 VSD393226:VSK393226 WBZ393226:WCG393226 WLV393226:WMC393226 WVR393226:WVY393226 JF458762:JM458762 TB458762:TI458762 ACX458762:ADE458762 AMT458762:ANA458762 AWP458762:AWW458762 BGL458762:BGS458762 BQH458762:BQO458762 CAD458762:CAK458762 CJZ458762:CKG458762 CTV458762:CUC458762 DDR458762:DDY458762 DNN458762:DNU458762 DXJ458762:DXQ458762 EHF458762:EHM458762 ERB458762:ERI458762 FAX458762:FBE458762 FKT458762:FLA458762 FUP458762:FUW458762 GEL458762:GES458762 GOH458762:GOO458762 GYD458762:GYK458762 HHZ458762:HIG458762 HRV458762:HSC458762 IBR458762:IBY458762 ILN458762:ILU458762 IVJ458762:IVQ458762 JFF458762:JFM458762 JPB458762:JPI458762 JYX458762:JZE458762 KIT458762:KJA458762 KSP458762:KSW458762 LCL458762:LCS458762 LMH458762:LMO458762 LWD458762:LWK458762 MFZ458762:MGG458762 MPV458762:MQC458762 MZR458762:MZY458762 NJN458762:NJU458762 NTJ458762:NTQ458762 ODF458762:ODM458762 ONB458762:ONI458762 OWX458762:OXE458762 PGT458762:PHA458762 PQP458762:PQW458762 QAL458762:QAS458762 QKH458762:QKO458762 QUD458762:QUK458762 RDZ458762:REG458762 RNV458762:ROC458762 RXR458762:RXY458762 SHN458762:SHU458762 SRJ458762:SRQ458762 TBF458762:TBM458762 TLB458762:TLI458762 TUX458762:TVE458762 UET458762:UFA458762 UOP458762:UOW458762 UYL458762:UYS458762 VIH458762:VIO458762 VSD458762:VSK458762 WBZ458762:WCG458762 WLV458762:WMC458762 WVR458762:WVY458762 JF524298:JM524298 TB524298:TI524298 ACX524298:ADE524298 AMT524298:ANA524298 AWP524298:AWW524298 BGL524298:BGS524298 BQH524298:BQO524298 CAD524298:CAK524298 CJZ524298:CKG524298 CTV524298:CUC524298 DDR524298:DDY524298 DNN524298:DNU524298 DXJ524298:DXQ524298 EHF524298:EHM524298 ERB524298:ERI524298 FAX524298:FBE524298 FKT524298:FLA524298 FUP524298:FUW524298 GEL524298:GES524298 GOH524298:GOO524298 GYD524298:GYK524298 HHZ524298:HIG524298 HRV524298:HSC524298 IBR524298:IBY524298 ILN524298:ILU524298 IVJ524298:IVQ524298 JFF524298:JFM524298 JPB524298:JPI524298 JYX524298:JZE524298 KIT524298:KJA524298 KSP524298:KSW524298 LCL524298:LCS524298 LMH524298:LMO524298 LWD524298:LWK524298 MFZ524298:MGG524298 MPV524298:MQC524298 MZR524298:MZY524298 NJN524298:NJU524298 NTJ524298:NTQ524298 ODF524298:ODM524298 ONB524298:ONI524298 OWX524298:OXE524298 PGT524298:PHA524298 PQP524298:PQW524298 QAL524298:QAS524298 QKH524298:QKO524298 QUD524298:QUK524298 RDZ524298:REG524298 RNV524298:ROC524298 RXR524298:RXY524298 SHN524298:SHU524298 SRJ524298:SRQ524298 TBF524298:TBM524298 TLB524298:TLI524298 TUX524298:TVE524298 UET524298:UFA524298 UOP524298:UOW524298 UYL524298:UYS524298 VIH524298:VIO524298 VSD524298:VSK524298 WBZ524298:WCG524298 WLV524298:WMC524298 WVR524298:WVY524298 JF589834:JM589834 TB589834:TI589834 ACX589834:ADE589834 AMT589834:ANA589834 AWP589834:AWW589834 BGL589834:BGS589834 BQH589834:BQO589834 CAD589834:CAK589834 CJZ589834:CKG589834 CTV589834:CUC589834 DDR589834:DDY589834 DNN589834:DNU589834 DXJ589834:DXQ589834 EHF589834:EHM589834 ERB589834:ERI589834 FAX589834:FBE589834 FKT589834:FLA589834 FUP589834:FUW589834 GEL589834:GES589834 GOH589834:GOO589834 GYD589834:GYK589834 HHZ589834:HIG589834 HRV589834:HSC589834 IBR589834:IBY589834 ILN589834:ILU589834 IVJ589834:IVQ589834 JFF589834:JFM589834 JPB589834:JPI589834 JYX589834:JZE589834 KIT589834:KJA589834 KSP589834:KSW589834 LCL589834:LCS589834 LMH589834:LMO589834 LWD589834:LWK589834 MFZ589834:MGG589834 MPV589834:MQC589834 MZR589834:MZY589834 NJN589834:NJU589834 NTJ589834:NTQ589834 ODF589834:ODM589834 ONB589834:ONI589834 OWX589834:OXE589834 PGT589834:PHA589834 PQP589834:PQW589834 QAL589834:QAS589834 QKH589834:QKO589834 QUD589834:QUK589834 RDZ589834:REG589834 RNV589834:ROC589834 RXR589834:RXY589834 SHN589834:SHU589834 SRJ589834:SRQ589834 TBF589834:TBM589834 TLB589834:TLI589834 TUX589834:TVE589834 UET589834:UFA589834 UOP589834:UOW589834 UYL589834:UYS589834 VIH589834:VIO589834 VSD589834:VSK589834 WBZ589834:WCG589834 WLV589834:WMC589834 WVR589834:WVY589834 JF655370:JM655370 TB655370:TI655370 ACX655370:ADE655370 AMT655370:ANA655370 AWP655370:AWW655370 BGL655370:BGS655370 BQH655370:BQO655370 CAD655370:CAK655370 CJZ655370:CKG655370 CTV655370:CUC655370 DDR655370:DDY655370 DNN655370:DNU655370 DXJ655370:DXQ655370 EHF655370:EHM655370 ERB655370:ERI655370 FAX655370:FBE655370 FKT655370:FLA655370 FUP655370:FUW655370 GEL655370:GES655370 GOH655370:GOO655370 GYD655370:GYK655370 HHZ655370:HIG655370 HRV655370:HSC655370 IBR655370:IBY655370 ILN655370:ILU655370 IVJ655370:IVQ655370 JFF655370:JFM655370 JPB655370:JPI655370 JYX655370:JZE655370 KIT655370:KJA655370 KSP655370:KSW655370 LCL655370:LCS655370 LMH655370:LMO655370 LWD655370:LWK655370 MFZ655370:MGG655370 MPV655370:MQC655370 MZR655370:MZY655370 NJN655370:NJU655370 NTJ655370:NTQ655370 ODF655370:ODM655370 ONB655370:ONI655370 OWX655370:OXE655370 PGT655370:PHA655370 PQP655370:PQW655370 QAL655370:QAS655370 QKH655370:QKO655370 QUD655370:QUK655370 RDZ655370:REG655370 RNV655370:ROC655370 RXR655370:RXY655370 SHN655370:SHU655370 SRJ655370:SRQ655370 TBF655370:TBM655370 TLB655370:TLI655370 TUX655370:TVE655370 UET655370:UFA655370 UOP655370:UOW655370 UYL655370:UYS655370 VIH655370:VIO655370 VSD655370:VSK655370 WBZ655370:WCG655370 WLV655370:WMC655370 WVR655370:WVY655370 JF720906:JM720906 TB720906:TI720906 ACX720906:ADE720906 AMT720906:ANA720906 AWP720906:AWW720906 BGL720906:BGS720906 BQH720906:BQO720906 CAD720906:CAK720906 CJZ720906:CKG720906 CTV720906:CUC720906 DDR720906:DDY720906 DNN720906:DNU720906 DXJ720906:DXQ720906 EHF720906:EHM720906 ERB720906:ERI720906 FAX720906:FBE720906 FKT720906:FLA720906 FUP720906:FUW720906 GEL720906:GES720906 GOH720906:GOO720906 GYD720906:GYK720906 HHZ720906:HIG720906 HRV720906:HSC720906 IBR720906:IBY720906 ILN720906:ILU720906 IVJ720906:IVQ720906 JFF720906:JFM720906 JPB720906:JPI720906 JYX720906:JZE720906 KIT720906:KJA720906 KSP720906:KSW720906 LCL720906:LCS720906 LMH720906:LMO720906 LWD720906:LWK720906 MFZ720906:MGG720906 MPV720906:MQC720906 MZR720906:MZY720906 NJN720906:NJU720906 NTJ720906:NTQ720906 ODF720906:ODM720906 ONB720906:ONI720906 OWX720906:OXE720906 PGT720906:PHA720906 PQP720906:PQW720906 QAL720906:QAS720906 QKH720906:QKO720906 QUD720906:QUK720906 RDZ720906:REG720906 RNV720906:ROC720906 RXR720906:RXY720906 SHN720906:SHU720906 SRJ720906:SRQ720906 TBF720906:TBM720906 TLB720906:TLI720906 TUX720906:TVE720906 UET720906:UFA720906 UOP720906:UOW720906 UYL720906:UYS720906 VIH720906:VIO720906 VSD720906:VSK720906 WBZ720906:WCG720906 WLV720906:WMC720906 WVR720906:WVY720906 JF786442:JM786442 TB786442:TI786442 ACX786442:ADE786442 AMT786442:ANA786442 AWP786442:AWW786442 BGL786442:BGS786442 BQH786442:BQO786442 CAD786442:CAK786442 CJZ786442:CKG786442 CTV786442:CUC786442 DDR786442:DDY786442 DNN786442:DNU786442 DXJ786442:DXQ786442 EHF786442:EHM786442 ERB786442:ERI786442 FAX786442:FBE786442 FKT786442:FLA786442 FUP786442:FUW786442 GEL786442:GES786442 GOH786442:GOO786442 GYD786442:GYK786442 HHZ786442:HIG786442 HRV786442:HSC786442 IBR786442:IBY786442 ILN786442:ILU786442 IVJ786442:IVQ786442 JFF786442:JFM786442 JPB786442:JPI786442 JYX786442:JZE786442 KIT786442:KJA786442 KSP786442:KSW786442 LCL786442:LCS786442 LMH786442:LMO786442 LWD786442:LWK786442 MFZ786442:MGG786442 MPV786442:MQC786442 MZR786442:MZY786442 NJN786442:NJU786442 NTJ786442:NTQ786442 ODF786442:ODM786442 ONB786442:ONI786442 OWX786442:OXE786442 PGT786442:PHA786442 PQP786442:PQW786442 QAL786442:QAS786442 QKH786442:QKO786442 QUD786442:QUK786442 RDZ786442:REG786442 RNV786442:ROC786442 RXR786442:RXY786442 SHN786442:SHU786442 SRJ786442:SRQ786442 TBF786442:TBM786442 TLB786442:TLI786442 TUX786442:TVE786442 UET786442:UFA786442 UOP786442:UOW786442 UYL786442:UYS786442 VIH786442:VIO786442 VSD786442:VSK786442 WBZ786442:WCG786442 WLV786442:WMC786442 WVR786442:WVY786442 JF851978:JM851978 TB851978:TI851978 ACX851978:ADE851978 AMT851978:ANA851978 AWP851978:AWW851978 BGL851978:BGS851978 BQH851978:BQO851978 CAD851978:CAK851978 CJZ851978:CKG851978 CTV851978:CUC851978 DDR851978:DDY851978 DNN851978:DNU851978 DXJ851978:DXQ851978 EHF851978:EHM851978 ERB851978:ERI851978 FAX851978:FBE851978 FKT851978:FLA851978 FUP851978:FUW851978 GEL851978:GES851978 GOH851978:GOO851978 GYD851978:GYK851978 HHZ851978:HIG851978 HRV851978:HSC851978 IBR851978:IBY851978 ILN851978:ILU851978 IVJ851978:IVQ851978 JFF851978:JFM851978 JPB851978:JPI851978 JYX851978:JZE851978 KIT851978:KJA851978 KSP851978:KSW851978 LCL851978:LCS851978 LMH851978:LMO851978 LWD851978:LWK851978 MFZ851978:MGG851978 MPV851978:MQC851978 MZR851978:MZY851978 NJN851978:NJU851978 NTJ851978:NTQ851978 ODF851978:ODM851978 ONB851978:ONI851978 OWX851978:OXE851978 PGT851978:PHA851978 PQP851978:PQW851978 QAL851978:QAS851978 QKH851978:QKO851978 QUD851978:QUK851978 RDZ851978:REG851978 RNV851978:ROC851978 RXR851978:RXY851978 SHN851978:SHU851978 SRJ851978:SRQ851978 TBF851978:TBM851978 TLB851978:TLI851978 TUX851978:TVE851978 UET851978:UFA851978 UOP851978:UOW851978 UYL851978:UYS851978 VIH851978:VIO851978 VSD851978:VSK851978 WBZ851978:WCG851978 WLV851978:WMC851978 WVR851978:WVY851978 JF917514:JM917514 TB917514:TI917514 ACX917514:ADE917514 AMT917514:ANA917514 AWP917514:AWW917514 BGL917514:BGS917514 BQH917514:BQO917514 CAD917514:CAK917514 CJZ917514:CKG917514 CTV917514:CUC917514 DDR917514:DDY917514 DNN917514:DNU917514 DXJ917514:DXQ917514 EHF917514:EHM917514 ERB917514:ERI917514 FAX917514:FBE917514 FKT917514:FLA917514 FUP917514:FUW917514 GEL917514:GES917514 GOH917514:GOO917514 GYD917514:GYK917514 HHZ917514:HIG917514 HRV917514:HSC917514 IBR917514:IBY917514 ILN917514:ILU917514 IVJ917514:IVQ917514 JFF917514:JFM917514 JPB917514:JPI917514 JYX917514:JZE917514 KIT917514:KJA917514 KSP917514:KSW917514 LCL917514:LCS917514 LMH917514:LMO917514 LWD917514:LWK917514 MFZ917514:MGG917514 MPV917514:MQC917514 MZR917514:MZY917514 NJN917514:NJU917514 NTJ917514:NTQ917514 ODF917514:ODM917514 ONB917514:ONI917514 OWX917514:OXE917514 PGT917514:PHA917514 PQP917514:PQW917514 QAL917514:QAS917514 QKH917514:QKO917514 QUD917514:QUK917514 RDZ917514:REG917514 RNV917514:ROC917514 RXR917514:RXY917514 SHN917514:SHU917514 SRJ917514:SRQ917514 TBF917514:TBM917514 TLB917514:TLI917514 TUX917514:TVE917514 UET917514:UFA917514 UOP917514:UOW917514 UYL917514:UYS917514 VIH917514:VIO917514 VSD917514:VSK917514 WBZ917514:WCG917514 WLV917514:WMC917514 WVR917514:WVY917514 WVR983050:WVY983050 JF983050:JM983050 TB983050:TI983050 ACX983050:ADE983050 AMT983050:ANA983050 AWP983050:AWW983050 BGL983050:BGS983050 BQH983050:BQO983050 CAD983050:CAK983050 CJZ983050:CKG983050 CTV983050:CUC983050 DDR983050:DDY983050 DNN983050:DNU983050 DXJ983050:DXQ983050 EHF983050:EHM983050 ERB983050:ERI983050 FAX983050:FBE983050 FKT983050:FLA983050 FUP983050:FUW983050 GEL983050:GES983050 GOH983050:GOO983050 GYD983050:GYK983050 HHZ983050:HIG983050 HRV983050:HSC983050 IBR983050:IBY983050 ILN983050:ILU983050 IVJ983050:IVQ983050 JFF983050:JFM983050 JPB983050:JPI983050 JYX983050:JZE983050 KIT983050:KJA983050 KSP983050:KSW983050 LCL983050:LCS983050 LMH983050:LMO983050 LWD983050:LWK983050 MFZ983050:MGG983050 MPV983050:MQC983050 MZR983050:MZY983050 NJN983050:NJU983050 NTJ983050:NTQ983050 ODF983050:ODM983050 ONB983050:ONI983050 OWX983050:OXE983050 PGT983050:PHA983050 PQP983050:PQW983050 QAL983050:QAS983050 QKH983050:QKO983050 QUD983050:QUK983050 RDZ983050:REG983050 RNV983050:ROC983050 RXR983050:RXY983050 SHN983050:SHU983050 SRJ983050:SRQ983050 TBF983050:TBM983050 TLB983050:TLI983050 TUX983050:TVE983050 UET983050:UFA983050 UOP983050:UOW983050 UYL983050:UYS983050 VIH983050:VIO983050 VSD983050:VSK983050 WBZ983050:WCG983050 WLV983050:WMC983050 G983050:Q983050 G917514:Q917514 G851978:Q851978 G786442:Q786442 G720906:Q720906 G655370:Q655370 G589834:Q589834 G524298:Q524298 G458762:Q458762 G393226:Q393226 G327690:Q327690 G262154:Q262154 G196618:Q196618 G131082:Q131082 G65546:Q65546 G10:Q10 G983128:Q983128 G917592:Q917592 G852056:Q852056 G786520:Q786520 G720984:Q720984 G655448:Q655448 G589912:Q589912 G524376:Q524376 G458840:Q458840 G393304:Q393304 G327768:Q327768 G262232:Q262232 G196696:Q196696 G131160:Q131160 G65624:Q65624 G88:Q88 G983344:Q983344 G917808:Q917808 G852272:Q852272 G786736:Q786736 G721200:Q721200 G655664:Q655664 G590128:Q590128 G524592:Q524592 G459056:Q459056 G393520:Q393520 G327984:Q327984 G262448:Q262448 G196912:Q196912 G131376:Q131376 G65840:Q65840 G304:Q304" xr:uid="{00000000-0002-0000-0300-000002000000}">
      <formula1>"積上げ,積上げ・率処理併用"</formula1>
    </dataValidation>
    <dataValidation type="list" allowBlank="1" showInputMessage="1" showErrorMessage="1" sqref="E86:E87 JD86:JD87 SZ86:SZ87 ACV86:ACV87 AMR86:AMR87 AWN86:AWN87 BGJ86:BGJ87 BQF86:BQF87 CAB86:CAB87 CJX86:CJX87 CTT86:CTT87 DDP86:DDP87 DNL86:DNL87 DXH86:DXH87 EHD86:EHD87 EQZ86:EQZ87 FAV86:FAV87 FKR86:FKR87 FUN86:FUN87 GEJ86:GEJ87 GOF86:GOF87 GYB86:GYB87 HHX86:HHX87 HRT86:HRT87 IBP86:IBP87 ILL86:ILL87 IVH86:IVH87 JFD86:JFD87 JOZ86:JOZ87 JYV86:JYV87 KIR86:KIR87 KSN86:KSN87 LCJ86:LCJ87 LMF86:LMF87 LWB86:LWB87 MFX86:MFX87 MPT86:MPT87 MZP86:MZP87 NJL86:NJL87 NTH86:NTH87 ODD86:ODD87 OMZ86:OMZ87 OWV86:OWV87 PGR86:PGR87 PQN86:PQN87 QAJ86:QAJ87 QKF86:QKF87 QUB86:QUB87 RDX86:RDX87 RNT86:RNT87 RXP86:RXP87 SHL86:SHL87 SRH86:SRH87 TBD86:TBD87 TKZ86:TKZ87 TUV86:TUV87 UER86:UER87 UON86:UON87 UYJ86:UYJ87 VIF86:VIF87 VSB86:VSB87 WBX86:WBX87 WLT86:WLT87 WVP86:WVP87 E65622:E65623 JD65622:JD65623 SZ65622:SZ65623 ACV65622:ACV65623 AMR65622:AMR65623 AWN65622:AWN65623 BGJ65622:BGJ65623 BQF65622:BQF65623 CAB65622:CAB65623 CJX65622:CJX65623 CTT65622:CTT65623 DDP65622:DDP65623 DNL65622:DNL65623 DXH65622:DXH65623 EHD65622:EHD65623 EQZ65622:EQZ65623 FAV65622:FAV65623 FKR65622:FKR65623 FUN65622:FUN65623 GEJ65622:GEJ65623 GOF65622:GOF65623 GYB65622:GYB65623 HHX65622:HHX65623 HRT65622:HRT65623 IBP65622:IBP65623 ILL65622:ILL65623 IVH65622:IVH65623 JFD65622:JFD65623 JOZ65622:JOZ65623 JYV65622:JYV65623 KIR65622:KIR65623 KSN65622:KSN65623 LCJ65622:LCJ65623 LMF65622:LMF65623 LWB65622:LWB65623 MFX65622:MFX65623 MPT65622:MPT65623 MZP65622:MZP65623 NJL65622:NJL65623 NTH65622:NTH65623 ODD65622:ODD65623 OMZ65622:OMZ65623 OWV65622:OWV65623 PGR65622:PGR65623 PQN65622:PQN65623 QAJ65622:QAJ65623 QKF65622:QKF65623 QUB65622:QUB65623 RDX65622:RDX65623 RNT65622:RNT65623 RXP65622:RXP65623 SHL65622:SHL65623 SRH65622:SRH65623 TBD65622:TBD65623 TKZ65622:TKZ65623 TUV65622:TUV65623 UER65622:UER65623 UON65622:UON65623 UYJ65622:UYJ65623 VIF65622:VIF65623 VSB65622:VSB65623 WBX65622:WBX65623 WLT65622:WLT65623 WVP65622:WVP65623 E131158:E131159 JD131158:JD131159 SZ131158:SZ131159 ACV131158:ACV131159 AMR131158:AMR131159 AWN131158:AWN131159 BGJ131158:BGJ131159 BQF131158:BQF131159 CAB131158:CAB131159 CJX131158:CJX131159 CTT131158:CTT131159 DDP131158:DDP131159 DNL131158:DNL131159 DXH131158:DXH131159 EHD131158:EHD131159 EQZ131158:EQZ131159 FAV131158:FAV131159 FKR131158:FKR131159 FUN131158:FUN131159 GEJ131158:GEJ131159 GOF131158:GOF131159 GYB131158:GYB131159 HHX131158:HHX131159 HRT131158:HRT131159 IBP131158:IBP131159 ILL131158:ILL131159 IVH131158:IVH131159 JFD131158:JFD131159 JOZ131158:JOZ131159 JYV131158:JYV131159 KIR131158:KIR131159 KSN131158:KSN131159 LCJ131158:LCJ131159 LMF131158:LMF131159 LWB131158:LWB131159 MFX131158:MFX131159 MPT131158:MPT131159 MZP131158:MZP131159 NJL131158:NJL131159 NTH131158:NTH131159 ODD131158:ODD131159 OMZ131158:OMZ131159 OWV131158:OWV131159 PGR131158:PGR131159 PQN131158:PQN131159 QAJ131158:QAJ131159 QKF131158:QKF131159 QUB131158:QUB131159 RDX131158:RDX131159 RNT131158:RNT131159 RXP131158:RXP131159 SHL131158:SHL131159 SRH131158:SRH131159 TBD131158:TBD131159 TKZ131158:TKZ131159 TUV131158:TUV131159 UER131158:UER131159 UON131158:UON131159 UYJ131158:UYJ131159 VIF131158:VIF131159 VSB131158:VSB131159 WBX131158:WBX131159 WLT131158:WLT131159 WVP131158:WVP131159 E196694:E196695 JD196694:JD196695 SZ196694:SZ196695 ACV196694:ACV196695 AMR196694:AMR196695 AWN196694:AWN196695 BGJ196694:BGJ196695 BQF196694:BQF196695 CAB196694:CAB196695 CJX196694:CJX196695 CTT196694:CTT196695 DDP196694:DDP196695 DNL196694:DNL196695 DXH196694:DXH196695 EHD196694:EHD196695 EQZ196694:EQZ196695 FAV196694:FAV196695 FKR196694:FKR196695 FUN196694:FUN196695 GEJ196694:GEJ196695 GOF196694:GOF196695 GYB196694:GYB196695 HHX196694:HHX196695 HRT196694:HRT196695 IBP196694:IBP196695 ILL196694:ILL196695 IVH196694:IVH196695 JFD196694:JFD196695 JOZ196694:JOZ196695 JYV196694:JYV196695 KIR196694:KIR196695 KSN196694:KSN196695 LCJ196694:LCJ196695 LMF196694:LMF196695 LWB196694:LWB196695 MFX196694:MFX196695 MPT196694:MPT196695 MZP196694:MZP196695 NJL196694:NJL196695 NTH196694:NTH196695 ODD196694:ODD196695 OMZ196694:OMZ196695 OWV196694:OWV196695 PGR196694:PGR196695 PQN196694:PQN196695 QAJ196694:QAJ196695 QKF196694:QKF196695 QUB196694:QUB196695 RDX196694:RDX196695 RNT196694:RNT196695 RXP196694:RXP196695 SHL196694:SHL196695 SRH196694:SRH196695 TBD196694:TBD196695 TKZ196694:TKZ196695 TUV196694:TUV196695 UER196694:UER196695 UON196694:UON196695 UYJ196694:UYJ196695 VIF196694:VIF196695 VSB196694:VSB196695 WBX196694:WBX196695 WLT196694:WLT196695 WVP196694:WVP196695 E262230:E262231 JD262230:JD262231 SZ262230:SZ262231 ACV262230:ACV262231 AMR262230:AMR262231 AWN262230:AWN262231 BGJ262230:BGJ262231 BQF262230:BQF262231 CAB262230:CAB262231 CJX262230:CJX262231 CTT262230:CTT262231 DDP262230:DDP262231 DNL262230:DNL262231 DXH262230:DXH262231 EHD262230:EHD262231 EQZ262230:EQZ262231 FAV262230:FAV262231 FKR262230:FKR262231 FUN262230:FUN262231 GEJ262230:GEJ262231 GOF262230:GOF262231 GYB262230:GYB262231 HHX262230:HHX262231 HRT262230:HRT262231 IBP262230:IBP262231 ILL262230:ILL262231 IVH262230:IVH262231 JFD262230:JFD262231 JOZ262230:JOZ262231 JYV262230:JYV262231 KIR262230:KIR262231 KSN262230:KSN262231 LCJ262230:LCJ262231 LMF262230:LMF262231 LWB262230:LWB262231 MFX262230:MFX262231 MPT262230:MPT262231 MZP262230:MZP262231 NJL262230:NJL262231 NTH262230:NTH262231 ODD262230:ODD262231 OMZ262230:OMZ262231 OWV262230:OWV262231 PGR262230:PGR262231 PQN262230:PQN262231 QAJ262230:QAJ262231 QKF262230:QKF262231 QUB262230:QUB262231 RDX262230:RDX262231 RNT262230:RNT262231 RXP262230:RXP262231 SHL262230:SHL262231 SRH262230:SRH262231 TBD262230:TBD262231 TKZ262230:TKZ262231 TUV262230:TUV262231 UER262230:UER262231 UON262230:UON262231 UYJ262230:UYJ262231 VIF262230:VIF262231 VSB262230:VSB262231 WBX262230:WBX262231 WLT262230:WLT262231 WVP262230:WVP262231 E327766:E327767 JD327766:JD327767 SZ327766:SZ327767 ACV327766:ACV327767 AMR327766:AMR327767 AWN327766:AWN327767 BGJ327766:BGJ327767 BQF327766:BQF327767 CAB327766:CAB327767 CJX327766:CJX327767 CTT327766:CTT327767 DDP327766:DDP327767 DNL327766:DNL327767 DXH327766:DXH327767 EHD327766:EHD327767 EQZ327766:EQZ327767 FAV327766:FAV327767 FKR327766:FKR327767 FUN327766:FUN327767 GEJ327766:GEJ327767 GOF327766:GOF327767 GYB327766:GYB327767 HHX327766:HHX327767 HRT327766:HRT327767 IBP327766:IBP327767 ILL327766:ILL327767 IVH327766:IVH327767 JFD327766:JFD327767 JOZ327766:JOZ327767 JYV327766:JYV327767 KIR327766:KIR327767 KSN327766:KSN327767 LCJ327766:LCJ327767 LMF327766:LMF327767 LWB327766:LWB327767 MFX327766:MFX327767 MPT327766:MPT327767 MZP327766:MZP327767 NJL327766:NJL327767 NTH327766:NTH327767 ODD327766:ODD327767 OMZ327766:OMZ327767 OWV327766:OWV327767 PGR327766:PGR327767 PQN327766:PQN327767 QAJ327766:QAJ327767 QKF327766:QKF327767 QUB327766:QUB327767 RDX327766:RDX327767 RNT327766:RNT327767 RXP327766:RXP327767 SHL327766:SHL327767 SRH327766:SRH327767 TBD327766:TBD327767 TKZ327766:TKZ327767 TUV327766:TUV327767 UER327766:UER327767 UON327766:UON327767 UYJ327766:UYJ327767 VIF327766:VIF327767 VSB327766:VSB327767 WBX327766:WBX327767 WLT327766:WLT327767 WVP327766:WVP327767 E393302:E393303 JD393302:JD393303 SZ393302:SZ393303 ACV393302:ACV393303 AMR393302:AMR393303 AWN393302:AWN393303 BGJ393302:BGJ393303 BQF393302:BQF393303 CAB393302:CAB393303 CJX393302:CJX393303 CTT393302:CTT393303 DDP393302:DDP393303 DNL393302:DNL393303 DXH393302:DXH393303 EHD393302:EHD393303 EQZ393302:EQZ393303 FAV393302:FAV393303 FKR393302:FKR393303 FUN393302:FUN393303 GEJ393302:GEJ393303 GOF393302:GOF393303 GYB393302:GYB393303 HHX393302:HHX393303 HRT393302:HRT393303 IBP393302:IBP393303 ILL393302:ILL393303 IVH393302:IVH393303 JFD393302:JFD393303 JOZ393302:JOZ393303 JYV393302:JYV393303 KIR393302:KIR393303 KSN393302:KSN393303 LCJ393302:LCJ393303 LMF393302:LMF393303 LWB393302:LWB393303 MFX393302:MFX393303 MPT393302:MPT393303 MZP393302:MZP393303 NJL393302:NJL393303 NTH393302:NTH393303 ODD393302:ODD393303 OMZ393302:OMZ393303 OWV393302:OWV393303 PGR393302:PGR393303 PQN393302:PQN393303 QAJ393302:QAJ393303 QKF393302:QKF393303 QUB393302:QUB393303 RDX393302:RDX393303 RNT393302:RNT393303 RXP393302:RXP393303 SHL393302:SHL393303 SRH393302:SRH393303 TBD393302:TBD393303 TKZ393302:TKZ393303 TUV393302:TUV393303 UER393302:UER393303 UON393302:UON393303 UYJ393302:UYJ393303 VIF393302:VIF393303 VSB393302:VSB393303 WBX393302:WBX393303 WLT393302:WLT393303 WVP393302:WVP393303 E458838:E458839 JD458838:JD458839 SZ458838:SZ458839 ACV458838:ACV458839 AMR458838:AMR458839 AWN458838:AWN458839 BGJ458838:BGJ458839 BQF458838:BQF458839 CAB458838:CAB458839 CJX458838:CJX458839 CTT458838:CTT458839 DDP458838:DDP458839 DNL458838:DNL458839 DXH458838:DXH458839 EHD458838:EHD458839 EQZ458838:EQZ458839 FAV458838:FAV458839 FKR458838:FKR458839 FUN458838:FUN458839 GEJ458838:GEJ458839 GOF458838:GOF458839 GYB458838:GYB458839 HHX458838:HHX458839 HRT458838:HRT458839 IBP458838:IBP458839 ILL458838:ILL458839 IVH458838:IVH458839 JFD458838:JFD458839 JOZ458838:JOZ458839 JYV458838:JYV458839 KIR458838:KIR458839 KSN458838:KSN458839 LCJ458838:LCJ458839 LMF458838:LMF458839 LWB458838:LWB458839 MFX458838:MFX458839 MPT458838:MPT458839 MZP458838:MZP458839 NJL458838:NJL458839 NTH458838:NTH458839 ODD458838:ODD458839 OMZ458838:OMZ458839 OWV458838:OWV458839 PGR458838:PGR458839 PQN458838:PQN458839 QAJ458838:QAJ458839 QKF458838:QKF458839 QUB458838:QUB458839 RDX458838:RDX458839 RNT458838:RNT458839 RXP458838:RXP458839 SHL458838:SHL458839 SRH458838:SRH458839 TBD458838:TBD458839 TKZ458838:TKZ458839 TUV458838:TUV458839 UER458838:UER458839 UON458838:UON458839 UYJ458838:UYJ458839 VIF458838:VIF458839 VSB458838:VSB458839 WBX458838:WBX458839 WLT458838:WLT458839 WVP458838:WVP458839 E524374:E524375 JD524374:JD524375 SZ524374:SZ524375 ACV524374:ACV524375 AMR524374:AMR524375 AWN524374:AWN524375 BGJ524374:BGJ524375 BQF524374:BQF524375 CAB524374:CAB524375 CJX524374:CJX524375 CTT524374:CTT524375 DDP524374:DDP524375 DNL524374:DNL524375 DXH524374:DXH524375 EHD524374:EHD524375 EQZ524374:EQZ524375 FAV524374:FAV524375 FKR524374:FKR524375 FUN524374:FUN524375 GEJ524374:GEJ524375 GOF524374:GOF524375 GYB524374:GYB524375 HHX524374:HHX524375 HRT524374:HRT524375 IBP524374:IBP524375 ILL524374:ILL524375 IVH524374:IVH524375 JFD524374:JFD524375 JOZ524374:JOZ524375 JYV524374:JYV524375 KIR524374:KIR524375 KSN524374:KSN524375 LCJ524374:LCJ524375 LMF524374:LMF524375 LWB524374:LWB524375 MFX524374:MFX524375 MPT524374:MPT524375 MZP524374:MZP524375 NJL524374:NJL524375 NTH524374:NTH524375 ODD524374:ODD524375 OMZ524374:OMZ524375 OWV524374:OWV524375 PGR524374:PGR524375 PQN524374:PQN524375 QAJ524374:QAJ524375 QKF524374:QKF524375 QUB524374:QUB524375 RDX524374:RDX524375 RNT524374:RNT524375 RXP524374:RXP524375 SHL524374:SHL524375 SRH524374:SRH524375 TBD524374:TBD524375 TKZ524374:TKZ524375 TUV524374:TUV524375 UER524374:UER524375 UON524374:UON524375 UYJ524374:UYJ524375 VIF524374:VIF524375 VSB524374:VSB524375 WBX524374:WBX524375 WLT524374:WLT524375 WVP524374:WVP524375 E589910:E589911 JD589910:JD589911 SZ589910:SZ589911 ACV589910:ACV589911 AMR589910:AMR589911 AWN589910:AWN589911 BGJ589910:BGJ589911 BQF589910:BQF589911 CAB589910:CAB589911 CJX589910:CJX589911 CTT589910:CTT589911 DDP589910:DDP589911 DNL589910:DNL589911 DXH589910:DXH589911 EHD589910:EHD589911 EQZ589910:EQZ589911 FAV589910:FAV589911 FKR589910:FKR589911 FUN589910:FUN589911 GEJ589910:GEJ589911 GOF589910:GOF589911 GYB589910:GYB589911 HHX589910:HHX589911 HRT589910:HRT589911 IBP589910:IBP589911 ILL589910:ILL589911 IVH589910:IVH589911 JFD589910:JFD589911 JOZ589910:JOZ589911 JYV589910:JYV589911 KIR589910:KIR589911 KSN589910:KSN589911 LCJ589910:LCJ589911 LMF589910:LMF589911 LWB589910:LWB589911 MFX589910:MFX589911 MPT589910:MPT589911 MZP589910:MZP589911 NJL589910:NJL589911 NTH589910:NTH589911 ODD589910:ODD589911 OMZ589910:OMZ589911 OWV589910:OWV589911 PGR589910:PGR589911 PQN589910:PQN589911 QAJ589910:QAJ589911 QKF589910:QKF589911 QUB589910:QUB589911 RDX589910:RDX589911 RNT589910:RNT589911 RXP589910:RXP589911 SHL589910:SHL589911 SRH589910:SRH589911 TBD589910:TBD589911 TKZ589910:TKZ589911 TUV589910:TUV589911 UER589910:UER589911 UON589910:UON589911 UYJ589910:UYJ589911 VIF589910:VIF589911 VSB589910:VSB589911 WBX589910:WBX589911 WLT589910:WLT589911 WVP589910:WVP589911 E655446:E655447 JD655446:JD655447 SZ655446:SZ655447 ACV655446:ACV655447 AMR655446:AMR655447 AWN655446:AWN655447 BGJ655446:BGJ655447 BQF655446:BQF655447 CAB655446:CAB655447 CJX655446:CJX655447 CTT655446:CTT655447 DDP655446:DDP655447 DNL655446:DNL655447 DXH655446:DXH655447 EHD655446:EHD655447 EQZ655446:EQZ655447 FAV655446:FAV655447 FKR655446:FKR655447 FUN655446:FUN655447 GEJ655446:GEJ655447 GOF655446:GOF655447 GYB655446:GYB655447 HHX655446:HHX655447 HRT655446:HRT655447 IBP655446:IBP655447 ILL655446:ILL655447 IVH655446:IVH655447 JFD655446:JFD655447 JOZ655446:JOZ655447 JYV655446:JYV655447 KIR655446:KIR655447 KSN655446:KSN655447 LCJ655446:LCJ655447 LMF655446:LMF655447 LWB655446:LWB655447 MFX655446:MFX655447 MPT655446:MPT655447 MZP655446:MZP655447 NJL655446:NJL655447 NTH655446:NTH655447 ODD655446:ODD655447 OMZ655446:OMZ655447 OWV655446:OWV655447 PGR655446:PGR655447 PQN655446:PQN655447 QAJ655446:QAJ655447 QKF655446:QKF655447 QUB655446:QUB655447 RDX655446:RDX655447 RNT655446:RNT655447 RXP655446:RXP655447 SHL655446:SHL655447 SRH655446:SRH655447 TBD655446:TBD655447 TKZ655446:TKZ655447 TUV655446:TUV655447 UER655446:UER655447 UON655446:UON655447 UYJ655446:UYJ655447 VIF655446:VIF655447 VSB655446:VSB655447 WBX655446:WBX655447 WLT655446:WLT655447 WVP655446:WVP655447 E720982:E720983 JD720982:JD720983 SZ720982:SZ720983 ACV720982:ACV720983 AMR720982:AMR720983 AWN720982:AWN720983 BGJ720982:BGJ720983 BQF720982:BQF720983 CAB720982:CAB720983 CJX720982:CJX720983 CTT720982:CTT720983 DDP720982:DDP720983 DNL720982:DNL720983 DXH720982:DXH720983 EHD720982:EHD720983 EQZ720982:EQZ720983 FAV720982:FAV720983 FKR720982:FKR720983 FUN720982:FUN720983 GEJ720982:GEJ720983 GOF720982:GOF720983 GYB720982:GYB720983 HHX720982:HHX720983 HRT720982:HRT720983 IBP720982:IBP720983 ILL720982:ILL720983 IVH720982:IVH720983 JFD720982:JFD720983 JOZ720982:JOZ720983 JYV720982:JYV720983 KIR720982:KIR720983 KSN720982:KSN720983 LCJ720982:LCJ720983 LMF720982:LMF720983 LWB720982:LWB720983 MFX720982:MFX720983 MPT720982:MPT720983 MZP720982:MZP720983 NJL720982:NJL720983 NTH720982:NTH720983 ODD720982:ODD720983 OMZ720982:OMZ720983 OWV720982:OWV720983 PGR720982:PGR720983 PQN720982:PQN720983 QAJ720982:QAJ720983 QKF720982:QKF720983 QUB720982:QUB720983 RDX720982:RDX720983 RNT720982:RNT720983 RXP720982:RXP720983 SHL720982:SHL720983 SRH720982:SRH720983 TBD720982:TBD720983 TKZ720982:TKZ720983 TUV720982:TUV720983 UER720982:UER720983 UON720982:UON720983 UYJ720982:UYJ720983 VIF720982:VIF720983 VSB720982:VSB720983 WBX720982:WBX720983 WLT720982:WLT720983 WVP720982:WVP720983 E786518:E786519 JD786518:JD786519 SZ786518:SZ786519 ACV786518:ACV786519 AMR786518:AMR786519 AWN786518:AWN786519 BGJ786518:BGJ786519 BQF786518:BQF786519 CAB786518:CAB786519 CJX786518:CJX786519 CTT786518:CTT786519 DDP786518:DDP786519 DNL786518:DNL786519 DXH786518:DXH786519 EHD786518:EHD786519 EQZ786518:EQZ786519 FAV786518:FAV786519 FKR786518:FKR786519 FUN786518:FUN786519 GEJ786518:GEJ786519 GOF786518:GOF786519 GYB786518:GYB786519 HHX786518:HHX786519 HRT786518:HRT786519 IBP786518:IBP786519 ILL786518:ILL786519 IVH786518:IVH786519 JFD786518:JFD786519 JOZ786518:JOZ786519 JYV786518:JYV786519 KIR786518:KIR786519 KSN786518:KSN786519 LCJ786518:LCJ786519 LMF786518:LMF786519 LWB786518:LWB786519 MFX786518:MFX786519 MPT786518:MPT786519 MZP786518:MZP786519 NJL786518:NJL786519 NTH786518:NTH786519 ODD786518:ODD786519 OMZ786518:OMZ786519 OWV786518:OWV786519 PGR786518:PGR786519 PQN786518:PQN786519 QAJ786518:QAJ786519 QKF786518:QKF786519 QUB786518:QUB786519 RDX786518:RDX786519 RNT786518:RNT786519 RXP786518:RXP786519 SHL786518:SHL786519 SRH786518:SRH786519 TBD786518:TBD786519 TKZ786518:TKZ786519 TUV786518:TUV786519 UER786518:UER786519 UON786518:UON786519 UYJ786518:UYJ786519 VIF786518:VIF786519 VSB786518:VSB786519 WBX786518:WBX786519 WLT786518:WLT786519 WVP786518:WVP786519 E852054:E852055 JD852054:JD852055 SZ852054:SZ852055 ACV852054:ACV852055 AMR852054:AMR852055 AWN852054:AWN852055 BGJ852054:BGJ852055 BQF852054:BQF852055 CAB852054:CAB852055 CJX852054:CJX852055 CTT852054:CTT852055 DDP852054:DDP852055 DNL852054:DNL852055 DXH852054:DXH852055 EHD852054:EHD852055 EQZ852054:EQZ852055 FAV852054:FAV852055 FKR852054:FKR852055 FUN852054:FUN852055 GEJ852054:GEJ852055 GOF852054:GOF852055 GYB852054:GYB852055 HHX852054:HHX852055 HRT852054:HRT852055 IBP852054:IBP852055 ILL852054:ILL852055 IVH852054:IVH852055 JFD852054:JFD852055 JOZ852054:JOZ852055 JYV852054:JYV852055 KIR852054:KIR852055 KSN852054:KSN852055 LCJ852054:LCJ852055 LMF852054:LMF852055 LWB852054:LWB852055 MFX852054:MFX852055 MPT852054:MPT852055 MZP852054:MZP852055 NJL852054:NJL852055 NTH852054:NTH852055 ODD852054:ODD852055 OMZ852054:OMZ852055 OWV852054:OWV852055 PGR852054:PGR852055 PQN852054:PQN852055 QAJ852054:QAJ852055 QKF852054:QKF852055 QUB852054:QUB852055 RDX852054:RDX852055 RNT852054:RNT852055 RXP852054:RXP852055 SHL852054:SHL852055 SRH852054:SRH852055 TBD852054:TBD852055 TKZ852054:TKZ852055 TUV852054:TUV852055 UER852054:UER852055 UON852054:UON852055 UYJ852054:UYJ852055 VIF852054:VIF852055 VSB852054:VSB852055 WBX852054:WBX852055 WLT852054:WLT852055 WVP852054:WVP852055 E917590:E917591 JD917590:JD917591 SZ917590:SZ917591 ACV917590:ACV917591 AMR917590:AMR917591 AWN917590:AWN917591 BGJ917590:BGJ917591 BQF917590:BQF917591 CAB917590:CAB917591 CJX917590:CJX917591 CTT917590:CTT917591 DDP917590:DDP917591 DNL917590:DNL917591 DXH917590:DXH917591 EHD917590:EHD917591 EQZ917590:EQZ917591 FAV917590:FAV917591 FKR917590:FKR917591 FUN917590:FUN917591 GEJ917590:GEJ917591 GOF917590:GOF917591 GYB917590:GYB917591 HHX917590:HHX917591 HRT917590:HRT917591 IBP917590:IBP917591 ILL917590:ILL917591 IVH917590:IVH917591 JFD917590:JFD917591 JOZ917590:JOZ917591 JYV917590:JYV917591 KIR917590:KIR917591 KSN917590:KSN917591 LCJ917590:LCJ917591 LMF917590:LMF917591 LWB917590:LWB917591 MFX917590:MFX917591 MPT917590:MPT917591 MZP917590:MZP917591 NJL917590:NJL917591 NTH917590:NTH917591 ODD917590:ODD917591 OMZ917590:OMZ917591 OWV917590:OWV917591 PGR917590:PGR917591 PQN917590:PQN917591 QAJ917590:QAJ917591 QKF917590:QKF917591 QUB917590:QUB917591 RDX917590:RDX917591 RNT917590:RNT917591 RXP917590:RXP917591 SHL917590:SHL917591 SRH917590:SRH917591 TBD917590:TBD917591 TKZ917590:TKZ917591 TUV917590:TUV917591 UER917590:UER917591 UON917590:UON917591 UYJ917590:UYJ917591 VIF917590:VIF917591 VSB917590:VSB917591 WBX917590:WBX917591 WLT917590:WLT917591 WVP917590:WVP917591 E983126:E983127 JD983126:JD983127 SZ983126:SZ983127 ACV983126:ACV983127 AMR983126:AMR983127 AWN983126:AWN983127 BGJ983126:BGJ983127 BQF983126:BQF983127 CAB983126:CAB983127 CJX983126:CJX983127 CTT983126:CTT983127 DDP983126:DDP983127 DNL983126:DNL983127 DXH983126:DXH983127 EHD983126:EHD983127 EQZ983126:EQZ983127 FAV983126:FAV983127 FKR983126:FKR983127 FUN983126:FUN983127 GEJ983126:GEJ983127 GOF983126:GOF983127 GYB983126:GYB983127 HHX983126:HHX983127 HRT983126:HRT983127 IBP983126:IBP983127 ILL983126:ILL983127 IVH983126:IVH983127 JFD983126:JFD983127 JOZ983126:JOZ983127 JYV983126:JYV983127 KIR983126:KIR983127 KSN983126:KSN983127 LCJ983126:LCJ983127 LMF983126:LMF983127 LWB983126:LWB983127 MFX983126:MFX983127 MPT983126:MPT983127 MZP983126:MZP983127 NJL983126:NJL983127 NTH983126:NTH983127 ODD983126:ODD983127 OMZ983126:OMZ983127 OWV983126:OWV983127 PGR983126:PGR983127 PQN983126:PQN983127 QAJ983126:QAJ983127 QKF983126:QKF983127 QUB983126:QUB983127 RDX983126:RDX983127 RNT983126:RNT983127 RXP983126:RXP983127 SHL983126:SHL983127 SRH983126:SRH983127 TBD983126:TBD983127 TKZ983126:TKZ983127 TUV983126:TUV983127 UER983126:UER983127 UON983126:UON983127 UYJ983126:UYJ983127 VIF983126:VIF983127 VSB983126:VSB983127 WBX983126:WBX983127 WLT983126:WLT983127 WVP983126:WVP983127 JF306:JM306 TB306:TI306 ACX306:ADE306 AMT306:ANA306 AWP306:AWW306 BGL306:BGS306 BQH306:BQO306 CAD306:CAK306 CJZ306:CKG306 CTV306:CUC306 DDR306:DDY306 DNN306:DNU306 DXJ306:DXQ306 EHF306:EHM306 ERB306:ERI306 FAX306:FBE306 FKT306:FLA306 FUP306:FUW306 GEL306:GES306 GOH306:GOO306 GYD306:GYK306 HHZ306:HIG306 HRV306:HSC306 IBR306:IBY306 ILN306:ILU306 IVJ306:IVQ306 JFF306:JFM306 JPB306:JPI306 JYX306:JZE306 KIT306:KJA306 KSP306:KSW306 LCL306:LCS306 LMH306:LMO306 LWD306:LWK306 MFZ306:MGG306 MPV306:MQC306 MZR306:MZY306 NJN306:NJU306 NTJ306:NTQ306 ODF306:ODM306 ONB306:ONI306 OWX306:OXE306 PGT306:PHA306 PQP306:PQW306 QAL306:QAS306 QKH306:QKO306 QUD306:QUK306 RDZ306:REG306 RNV306:ROC306 RXR306:RXY306 SHN306:SHU306 SRJ306:SRQ306 TBF306:TBM306 TLB306:TLI306 TUX306:TVE306 UET306:UFA306 UOP306:UOW306 UYL306:UYS306 VIH306:VIO306 VSD306:VSK306 WBZ306:WCG306 WLV306:WMC306 WVR306:WVY306 JF65842:JM65842 TB65842:TI65842 ACX65842:ADE65842 AMT65842:ANA65842 AWP65842:AWW65842 BGL65842:BGS65842 BQH65842:BQO65842 CAD65842:CAK65842 CJZ65842:CKG65842 CTV65842:CUC65842 DDR65842:DDY65842 DNN65842:DNU65842 DXJ65842:DXQ65842 EHF65842:EHM65842 ERB65842:ERI65842 FAX65842:FBE65842 FKT65842:FLA65842 FUP65842:FUW65842 GEL65842:GES65842 GOH65842:GOO65842 GYD65842:GYK65842 HHZ65842:HIG65842 HRV65842:HSC65842 IBR65842:IBY65842 ILN65842:ILU65842 IVJ65842:IVQ65842 JFF65842:JFM65842 JPB65842:JPI65842 JYX65842:JZE65842 KIT65842:KJA65842 KSP65842:KSW65842 LCL65842:LCS65842 LMH65842:LMO65842 LWD65842:LWK65842 MFZ65842:MGG65842 MPV65842:MQC65842 MZR65842:MZY65842 NJN65842:NJU65842 NTJ65842:NTQ65842 ODF65842:ODM65842 ONB65842:ONI65842 OWX65842:OXE65842 PGT65842:PHA65842 PQP65842:PQW65842 QAL65842:QAS65842 QKH65842:QKO65842 QUD65842:QUK65842 RDZ65842:REG65842 RNV65842:ROC65842 RXR65842:RXY65842 SHN65842:SHU65842 SRJ65842:SRQ65842 TBF65842:TBM65842 TLB65842:TLI65842 TUX65842:TVE65842 UET65842:UFA65842 UOP65842:UOW65842 UYL65842:UYS65842 VIH65842:VIO65842 VSD65842:VSK65842 WBZ65842:WCG65842 WLV65842:WMC65842 WVR65842:WVY65842 JF131378:JM131378 TB131378:TI131378 ACX131378:ADE131378 AMT131378:ANA131378 AWP131378:AWW131378 BGL131378:BGS131378 BQH131378:BQO131378 CAD131378:CAK131378 CJZ131378:CKG131378 CTV131378:CUC131378 DDR131378:DDY131378 DNN131378:DNU131378 DXJ131378:DXQ131378 EHF131378:EHM131378 ERB131378:ERI131378 FAX131378:FBE131378 FKT131378:FLA131378 FUP131378:FUW131378 GEL131378:GES131378 GOH131378:GOO131378 GYD131378:GYK131378 HHZ131378:HIG131378 HRV131378:HSC131378 IBR131378:IBY131378 ILN131378:ILU131378 IVJ131378:IVQ131378 JFF131378:JFM131378 JPB131378:JPI131378 JYX131378:JZE131378 KIT131378:KJA131378 KSP131378:KSW131378 LCL131378:LCS131378 LMH131378:LMO131378 LWD131378:LWK131378 MFZ131378:MGG131378 MPV131378:MQC131378 MZR131378:MZY131378 NJN131378:NJU131378 NTJ131378:NTQ131378 ODF131378:ODM131378 ONB131378:ONI131378 OWX131378:OXE131378 PGT131378:PHA131378 PQP131378:PQW131378 QAL131378:QAS131378 QKH131378:QKO131378 QUD131378:QUK131378 RDZ131378:REG131378 RNV131378:ROC131378 RXR131378:RXY131378 SHN131378:SHU131378 SRJ131378:SRQ131378 TBF131378:TBM131378 TLB131378:TLI131378 TUX131378:TVE131378 UET131378:UFA131378 UOP131378:UOW131378 UYL131378:UYS131378 VIH131378:VIO131378 VSD131378:VSK131378 WBZ131378:WCG131378 WLV131378:WMC131378 WVR131378:WVY131378 JF196914:JM196914 TB196914:TI196914 ACX196914:ADE196914 AMT196914:ANA196914 AWP196914:AWW196914 BGL196914:BGS196914 BQH196914:BQO196914 CAD196914:CAK196914 CJZ196914:CKG196914 CTV196914:CUC196914 DDR196914:DDY196914 DNN196914:DNU196914 DXJ196914:DXQ196914 EHF196914:EHM196914 ERB196914:ERI196914 FAX196914:FBE196914 FKT196914:FLA196914 FUP196914:FUW196914 GEL196914:GES196914 GOH196914:GOO196914 GYD196914:GYK196914 HHZ196914:HIG196914 HRV196914:HSC196914 IBR196914:IBY196914 ILN196914:ILU196914 IVJ196914:IVQ196914 JFF196914:JFM196914 JPB196914:JPI196914 JYX196914:JZE196914 KIT196914:KJA196914 KSP196914:KSW196914 LCL196914:LCS196914 LMH196914:LMO196914 LWD196914:LWK196914 MFZ196914:MGG196914 MPV196914:MQC196914 MZR196914:MZY196914 NJN196914:NJU196914 NTJ196914:NTQ196914 ODF196914:ODM196914 ONB196914:ONI196914 OWX196914:OXE196914 PGT196914:PHA196914 PQP196914:PQW196914 QAL196914:QAS196914 QKH196914:QKO196914 QUD196914:QUK196914 RDZ196914:REG196914 RNV196914:ROC196914 RXR196914:RXY196914 SHN196914:SHU196914 SRJ196914:SRQ196914 TBF196914:TBM196914 TLB196914:TLI196914 TUX196914:TVE196914 UET196914:UFA196914 UOP196914:UOW196914 UYL196914:UYS196914 VIH196914:VIO196914 VSD196914:VSK196914 WBZ196914:WCG196914 WLV196914:WMC196914 WVR196914:WVY196914 JF262450:JM262450 TB262450:TI262450 ACX262450:ADE262450 AMT262450:ANA262450 AWP262450:AWW262450 BGL262450:BGS262450 BQH262450:BQO262450 CAD262450:CAK262450 CJZ262450:CKG262450 CTV262450:CUC262450 DDR262450:DDY262450 DNN262450:DNU262450 DXJ262450:DXQ262450 EHF262450:EHM262450 ERB262450:ERI262450 FAX262450:FBE262450 FKT262450:FLA262450 FUP262450:FUW262450 GEL262450:GES262450 GOH262450:GOO262450 GYD262450:GYK262450 HHZ262450:HIG262450 HRV262450:HSC262450 IBR262450:IBY262450 ILN262450:ILU262450 IVJ262450:IVQ262450 JFF262450:JFM262450 JPB262450:JPI262450 JYX262450:JZE262450 KIT262450:KJA262450 KSP262450:KSW262450 LCL262450:LCS262450 LMH262450:LMO262450 LWD262450:LWK262450 MFZ262450:MGG262450 MPV262450:MQC262450 MZR262450:MZY262450 NJN262450:NJU262450 NTJ262450:NTQ262450 ODF262450:ODM262450 ONB262450:ONI262450 OWX262450:OXE262450 PGT262450:PHA262450 PQP262450:PQW262450 QAL262450:QAS262450 QKH262450:QKO262450 QUD262450:QUK262450 RDZ262450:REG262450 RNV262450:ROC262450 RXR262450:RXY262450 SHN262450:SHU262450 SRJ262450:SRQ262450 TBF262450:TBM262450 TLB262450:TLI262450 TUX262450:TVE262450 UET262450:UFA262450 UOP262450:UOW262450 UYL262450:UYS262450 VIH262450:VIO262450 VSD262450:VSK262450 WBZ262450:WCG262450 WLV262450:WMC262450 WVR262450:WVY262450 JF327986:JM327986 TB327986:TI327986 ACX327986:ADE327986 AMT327986:ANA327986 AWP327986:AWW327986 BGL327986:BGS327986 BQH327986:BQO327986 CAD327986:CAK327986 CJZ327986:CKG327986 CTV327986:CUC327986 DDR327986:DDY327986 DNN327986:DNU327986 DXJ327986:DXQ327986 EHF327986:EHM327986 ERB327986:ERI327986 FAX327986:FBE327986 FKT327986:FLA327986 FUP327986:FUW327986 GEL327986:GES327986 GOH327986:GOO327986 GYD327986:GYK327986 HHZ327986:HIG327986 HRV327986:HSC327986 IBR327986:IBY327986 ILN327986:ILU327986 IVJ327986:IVQ327986 JFF327986:JFM327986 JPB327986:JPI327986 JYX327986:JZE327986 KIT327986:KJA327986 KSP327986:KSW327986 LCL327986:LCS327986 LMH327986:LMO327986 LWD327986:LWK327986 MFZ327986:MGG327986 MPV327986:MQC327986 MZR327986:MZY327986 NJN327986:NJU327986 NTJ327986:NTQ327986 ODF327986:ODM327986 ONB327986:ONI327986 OWX327986:OXE327986 PGT327986:PHA327986 PQP327986:PQW327986 QAL327986:QAS327986 QKH327986:QKO327986 QUD327986:QUK327986 RDZ327986:REG327986 RNV327986:ROC327986 RXR327986:RXY327986 SHN327986:SHU327986 SRJ327986:SRQ327986 TBF327986:TBM327986 TLB327986:TLI327986 TUX327986:TVE327986 UET327986:UFA327986 UOP327986:UOW327986 UYL327986:UYS327986 VIH327986:VIO327986 VSD327986:VSK327986 WBZ327986:WCG327986 WLV327986:WMC327986 WVR327986:WVY327986 JF393522:JM393522 TB393522:TI393522 ACX393522:ADE393522 AMT393522:ANA393522 AWP393522:AWW393522 BGL393522:BGS393522 BQH393522:BQO393522 CAD393522:CAK393522 CJZ393522:CKG393522 CTV393522:CUC393522 DDR393522:DDY393522 DNN393522:DNU393522 DXJ393522:DXQ393522 EHF393522:EHM393522 ERB393522:ERI393522 FAX393522:FBE393522 FKT393522:FLA393522 FUP393522:FUW393522 GEL393522:GES393522 GOH393522:GOO393522 GYD393522:GYK393522 HHZ393522:HIG393522 HRV393522:HSC393522 IBR393522:IBY393522 ILN393522:ILU393522 IVJ393522:IVQ393522 JFF393522:JFM393522 JPB393522:JPI393522 JYX393522:JZE393522 KIT393522:KJA393522 KSP393522:KSW393522 LCL393522:LCS393522 LMH393522:LMO393522 LWD393522:LWK393522 MFZ393522:MGG393522 MPV393522:MQC393522 MZR393522:MZY393522 NJN393522:NJU393522 NTJ393522:NTQ393522 ODF393522:ODM393522 ONB393522:ONI393522 OWX393522:OXE393522 PGT393522:PHA393522 PQP393522:PQW393522 QAL393522:QAS393522 QKH393522:QKO393522 QUD393522:QUK393522 RDZ393522:REG393522 RNV393522:ROC393522 RXR393522:RXY393522 SHN393522:SHU393522 SRJ393522:SRQ393522 TBF393522:TBM393522 TLB393522:TLI393522 TUX393522:TVE393522 UET393522:UFA393522 UOP393522:UOW393522 UYL393522:UYS393522 VIH393522:VIO393522 VSD393522:VSK393522 WBZ393522:WCG393522 WLV393522:WMC393522 WVR393522:WVY393522 JF459058:JM459058 TB459058:TI459058 ACX459058:ADE459058 AMT459058:ANA459058 AWP459058:AWW459058 BGL459058:BGS459058 BQH459058:BQO459058 CAD459058:CAK459058 CJZ459058:CKG459058 CTV459058:CUC459058 DDR459058:DDY459058 DNN459058:DNU459058 DXJ459058:DXQ459058 EHF459058:EHM459058 ERB459058:ERI459058 FAX459058:FBE459058 FKT459058:FLA459058 FUP459058:FUW459058 GEL459058:GES459058 GOH459058:GOO459058 GYD459058:GYK459058 HHZ459058:HIG459058 HRV459058:HSC459058 IBR459058:IBY459058 ILN459058:ILU459058 IVJ459058:IVQ459058 JFF459058:JFM459058 JPB459058:JPI459058 JYX459058:JZE459058 KIT459058:KJA459058 KSP459058:KSW459058 LCL459058:LCS459058 LMH459058:LMO459058 LWD459058:LWK459058 MFZ459058:MGG459058 MPV459058:MQC459058 MZR459058:MZY459058 NJN459058:NJU459058 NTJ459058:NTQ459058 ODF459058:ODM459058 ONB459058:ONI459058 OWX459058:OXE459058 PGT459058:PHA459058 PQP459058:PQW459058 QAL459058:QAS459058 QKH459058:QKO459058 QUD459058:QUK459058 RDZ459058:REG459058 RNV459058:ROC459058 RXR459058:RXY459058 SHN459058:SHU459058 SRJ459058:SRQ459058 TBF459058:TBM459058 TLB459058:TLI459058 TUX459058:TVE459058 UET459058:UFA459058 UOP459058:UOW459058 UYL459058:UYS459058 VIH459058:VIO459058 VSD459058:VSK459058 WBZ459058:WCG459058 WLV459058:WMC459058 WVR459058:WVY459058 JF524594:JM524594 TB524594:TI524594 ACX524594:ADE524594 AMT524594:ANA524594 AWP524594:AWW524594 BGL524594:BGS524594 BQH524594:BQO524594 CAD524594:CAK524594 CJZ524594:CKG524594 CTV524594:CUC524594 DDR524594:DDY524594 DNN524594:DNU524594 DXJ524594:DXQ524594 EHF524594:EHM524594 ERB524594:ERI524594 FAX524594:FBE524594 FKT524594:FLA524594 FUP524594:FUW524594 GEL524594:GES524594 GOH524594:GOO524594 GYD524594:GYK524594 HHZ524594:HIG524594 HRV524594:HSC524594 IBR524594:IBY524594 ILN524594:ILU524594 IVJ524594:IVQ524594 JFF524594:JFM524594 JPB524594:JPI524594 JYX524594:JZE524594 KIT524594:KJA524594 KSP524594:KSW524594 LCL524594:LCS524594 LMH524594:LMO524594 LWD524594:LWK524594 MFZ524594:MGG524594 MPV524594:MQC524594 MZR524594:MZY524594 NJN524594:NJU524594 NTJ524594:NTQ524594 ODF524594:ODM524594 ONB524594:ONI524594 OWX524594:OXE524594 PGT524594:PHA524594 PQP524594:PQW524594 QAL524594:QAS524594 QKH524594:QKO524594 QUD524594:QUK524594 RDZ524594:REG524594 RNV524594:ROC524594 RXR524594:RXY524594 SHN524594:SHU524594 SRJ524594:SRQ524594 TBF524594:TBM524594 TLB524594:TLI524594 TUX524594:TVE524594 UET524594:UFA524594 UOP524594:UOW524594 UYL524594:UYS524594 VIH524594:VIO524594 VSD524594:VSK524594 WBZ524594:WCG524594 WLV524594:WMC524594 WVR524594:WVY524594 JF590130:JM590130 TB590130:TI590130 ACX590130:ADE590130 AMT590130:ANA590130 AWP590130:AWW590130 BGL590130:BGS590130 BQH590130:BQO590130 CAD590130:CAK590130 CJZ590130:CKG590130 CTV590130:CUC590130 DDR590130:DDY590130 DNN590130:DNU590130 DXJ590130:DXQ590130 EHF590130:EHM590130 ERB590130:ERI590130 FAX590130:FBE590130 FKT590130:FLA590130 FUP590130:FUW590130 GEL590130:GES590130 GOH590130:GOO590130 GYD590130:GYK590130 HHZ590130:HIG590130 HRV590130:HSC590130 IBR590130:IBY590130 ILN590130:ILU590130 IVJ590130:IVQ590130 JFF590130:JFM590130 JPB590130:JPI590130 JYX590130:JZE590130 KIT590130:KJA590130 KSP590130:KSW590130 LCL590130:LCS590130 LMH590130:LMO590130 LWD590130:LWK590130 MFZ590130:MGG590130 MPV590130:MQC590130 MZR590130:MZY590130 NJN590130:NJU590130 NTJ590130:NTQ590130 ODF590130:ODM590130 ONB590130:ONI590130 OWX590130:OXE590130 PGT590130:PHA590130 PQP590130:PQW590130 QAL590130:QAS590130 QKH590130:QKO590130 QUD590130:QUK590130 RDZ590130:REG590130 RNV590130:ROC590130 RXR590130:RXY590130 SHN590130:SHU590130 SRJ590130:SRQ590130 TBF590130:TBM590130 TLB590130:TLI590130 TUX590130:TVE590130 UET590130:UFA590130 UOP590130:UOW590130 UYL590130:UYS590130 VIH590130:VIO590130 VSD590130:VSK590130 WBZ590130:WCG590130 WLV590130:WMC590130 WVR590130:WVY590130 JF655666:JM655666 TB655666:TI655666 ACX655666:ADE655666 AMT655666:ANA655666 AWP655666:AWW655666 BGL655666:BGS655666 BQH655666:BQO655666 CAD655666:CAK655666 CJZ655666:CKG655666 CTV655666:CUC655666 DDR655666:DDY655666 DNN655666:DNU655666 DXJ655666:DXQ655666 EHF655666:EHM655666 ERB655666:ERI655666 FAX655666:FBE655666 FKT655666:FLA655666 FUP655666:FUW655666 GEL655666:GES655666 GOH655666:GOO655666 GYD655666:GYK655666 HHZ655666:HIG655666 HRV655666:HSC655666 IBR655666:IBY655666 ILN655666:ILU655666 IVJ655666:IVQ655666 JFF655666:JFM655666 JPB655666:JPI655666 JYX655666:JZE655666 KIT655666:KJA655666 KSP655666:KSW655666 LCL655666:LCS655666 LMH655666:LMO655666 LWD655666:LWK655666 MFZ655666:MGG655666 MPV655666:MQC655666 MZR655666:MZY655666 NJN655666:NJU655666 NTJ655666:NTQ655666 ODF655666:ODM655666 ONB655666:ONI655666 OWX655666:OXE655666 PGT655666:PHA655666 PQP655666:PQW655666 QAL655666:QAS655666 QKH655666:QKO655666 QUD655666:QUK655666 RDZ655666:REG655666 RNV655666:ROC655666 RXR655666:RXY655666 SHN655666:SHU655666 SRJ655666:SRQ655666 TBF655666:TBM655666 TLB655666:TLI655666 TUX655666:TVE655666 UET655666:UFA655666 UOP655666:UOW655666 UYL655666:UYS655666 VIH655666:VIO655666 VSD655666:VSK655666 WBZ655666:WCG655666 WLV655666:WMC655666 WVR655666:WVY655666 JF721202:JM721202 TB721202:TI721202 ACX721202:ADE721202 AMT721202:ANA721202 AWP721202:AWW721202 BGL721202:BGS721202 BQH721202:BQO721202 CAD721202:CAK721202 CJZ721202:CKG721202 CTV721202:CUC721202 DDR721202:DDY721202 DNN721202:DNU721202 DXJ721202:DXQ721202 EHF721202:EHM721202 ERB721202:ERI721202 FAX721202:FBE721202 FKT721202:FLA721202 FUP721202:FUW721202 GEL721202:GES721202 GOH721202:GOO721202 GYD721202:GYK721202 HHZ721202:HIG721202 HRV721202:HSC721202 IBR721202:IBY721202 ILN721202:ILU721202 IVJ721202:IVQ721202 JFF721202:JFM721202 JPB721202:JPI721202 JYX721202:JZE721202 KIT721202:KJA721202 KSP721202:KSW721202 LCL721202:LCS721202 LMH721202:LMO721202 LWD721202:LWK721202 MFZ721202:MGG721202 MPV721202:MQC721202 MZR721202:MZY721202 NJN721202:NJU721202 NTJ721202:NTQ721202 ODF721202:ODM721202 ONB721202:ONI721202 OWX721202:OXE721202 PGT721202:PHA721202 PQP721202:PQW721202 QAL721202:QAS721202 QKH721202:QKO721202 QUD721202:QUK721202 RDZ721202:REG721202 RNV721202:ROC721202 RXR721202:RXY721202 SHN721202:SHU721202 SRJ721202:SRQ721202 TBF721202:TBM721202 TLB721202:TLI721202 TUX721202:TVE721202 UET721202:UFA721202 UOP721202:UOW721202 UYL721202:UYS721202 VIH721202:VIO721202 VSD721202:VSK721202 WBZ721202:WCG721202 WLV721202:WMC721202 WVR721202:WVY721202 JF786738:JM786738 TB786738:TI786738 ACX786738:ADE786738 AMT786738:ANA786738 AWP786738:AWW786738 BGL786738:BGS786738 BQH786738:BQO786738 CAD786738:CAK786738 CJZ786738:CKG786738 CTV786738:CUC786738 DDR786738:DDY786738 DNN786738:DNU786738 DXJ786738:DXQ786738 EHF786738:EHM786738 ERB786738:ERI786738 FAX786738:FBE786738 FKT786738:FLA786738 FUP786738:FUW786738 GEL786738:GES786738 GOH786738:GOO786738 GYD786738:GYK786738 HHZ786738:HIG786738 HRV786738:HSC786738 IBR786738:IBY786738 ILN786738:ILU786738 IVJ786738:IVQ786738 JFF786738:JFM786738 JPB786738:JPI786738 JYX786738:JZE786738 KIT786738:KJA786738 KSP786738:KSW786738 LCL786738:LCS786738 LMH786738:LMO786738 LWD786738:LWK786738 MFZ786738:MGG786738 MPV786738:MQC786738 MZR786738:MZY786738 NJN786738:NJU786738 NTJ786738:NTQ786738 ODF786738:ODM786738 ONB786738:ONI786738 OWX786738:OXE786738 PGT786738:PHA786738 PQP786738:PQW786738 QAL786738:QAS786738 QKH786738:QKO786738 QUD786738:QUK786738 RDZ786738:REG786738 RNV786738:ROC786738 RXR786738:RXY786738 SHN786738:SHU786738 SRJ786738:SRQ786738 TBF786738:TBM786738 TLB786738:TLI786738 TUX786738:TVE786738 UET786738:UFA786738 UOP786738:UOW786738 UYL786738:UYS786738 VIH786738:VIO786738 VSD786738:VSK786738 WBZ786738:WCG786738 WLV786738:WMC786738 WVR786738:WVY786738 JF852274:JM852274 TB852274:TI852274 ACX852274:ADE852274 AMT852274:ANA852274 AWP852274:AWW852274 BGL852274:BGS852274 BQH852274:BQO852274 CAD852274:CAK852274 CJZ852274:CKG852274 CTV852274:CUC852274 DDR852274:DDY852274 DNN852274:DNU852274 DXJ852274:DXQ852274 EHF852274:EHM852274 ERB852274:ERI852274 FAX852274:FBE852274 FKT852274:FLA852274 FUP852274:FUW852274 GEL852274:GES852274 GOH852274:GOO852274 GYD852274:GYK852274 HHZ852274:HIG852274 HRV852274:HSC852274 IBR852274:IBY852274 ILN852274:ILU852274 IVJ852274:IVQ852274 JFF852274:JFM852274 JPB852274:JPI852274 JYX852274:JZE852274 KIT852274:KJA852274 KSP852274:KSW852274 LCL852274:LCS852274 LMH852274:LMO852274 LWD852274:LWK852274 MFZ852274:MGG852274 MPV852274:MQC852274 MZR852274:MZY852274 NJN852274:NJU852274 NTJ852274:NTQ852274 ODF852274:ODM852274 ONB852274:ONI852274 OWX852274:OXE852274 PGT852274:PHA852274 PQP852274:PQW852274 QAL852274:QAS852274 QKH852274:QKO852274 QUD852274:QUK852274 RDZ852274:REG852274 RNV852274:ROC852274 RXR852274:RXY852274 SHN852274:SHU852274 SRJ852274:SRQ852274 TBF852274:TBM852274 TLB852274:TLI852274 TUX852274:TVE852274 UET852274:UFA852274 UOP852274:UOW852274 UYL852274:UYS852274 VIH852274:VIO852274 VSD852274:VSK852274 WBZ852274:WCG852274 WLV852274:WMC852274 WVR852274:WVY852274 JF917810:JM917810 TB917810:TI917810 ACX917810:ADE917810 AMT917810:ANA917810 AWP917810:AWW917810 BGL917810:BGS917810 BQH917810:BQO917810 CAD917810:CAK917810 CJZ917810:CKG917810 CTV917810:CUC917810 DDR917810:DDY917810 DNN917810:DNU917810 DXJ917810:DXQ917810 EHF917810:EHM917810 ERB917810:ERI917810 FAX917810:FBE917810 FKT917810:FLA917810 FUP917810:FUW917810 GEL917810:GES917810 GOH917810:GOO917810 GYD917810:GYK917810 HHZ917810:HIG917810 HRV917810:HSC917810 IBR917810:IBY917810 ILN917810:ILU917810 IVJ917810:IVQ917810 JFF917810:JFM917810 JPB917810:JPI917810 JYX917810:JZE917810 KIT917810:KJA917810 KSP917810:KSW917810 LCL917810:LCS917810 LMH917810:LMO917810 LWD917810:LWK917810 MFZ917810:MGG917810 MPV917810:MQC917810 MZR917810:MZY917810 NJN917810:NJU917810 NTJ917810:NTQ917810 ODF917810:ODM917810 ONB917810:ONI917810 OWX917810:OXE917810 PGT917810:PHA917810 PQP917810:PQW917810 QAL917810:QAS917810 QKH917810:QKO917810 QUD917810:QUK917810 RDZ917810:REG917810 RNV917810:ROC917810 RXR917810:RXY917810 SHN917810:SHU917810 SRJ917810:SRQ917810 TBF917810:TBM917810 TLB917810:TLI917810 TUX917810:TVE917810 UET917810:UFA917810 UOP917810:UOW917810 UYL917810:UYS917810 VIH917810:VIO917810 VSD917810:VSK917810 WBZ917810:WCG917810 WLV917810:WMC917810 WVR917810:WVY917810 JF983346:JM983346 TB983346:TI983346 ACX983346:ADE983346 AMT983346:ANA983346 AWP983346:AWW983346 BGL983346:BGS983346 BQH983346:BQO983346 CAD983346:CAK983346 CJZ983346:CKG983346 CTV983346:CUC983346 DDR983346:DDY983346 DNN983346:DNU983346 DXJ983346:DXQ983346 EHF983346:EHM983346 ERB983346:ERI983346 FAX983346:FBE983346 FKT983346:FLA983346 FUP983346:FUW983346 GEL983346:GES983346 GOH983346:GOO983346 GYD983346:GYK983346 HHZ983346:HIG983346 HRV983346:HSC983346 IBR983346:IBY983346 ILN983346:ILU983346 IVJ983346:IVQ983346 JFF983346:JFM983346 JPB983346:JPI983346 JYX983346:JZE983346 KIT983346:KJA983346 KSP983346:KSW983346 LCL983346:LCS983346 LMH983346:LMO983346 LWD983346:LWK983346 MFZ983346:MGG983346 MPV983346:MQC983346 MZR983346:MZY983346 NJN983346:NJU983346 NTJ983346:NTQ983346 ODF983346:ODM983346 ONB983346:ONI983346 OWX983346:OXE983346 PGT983346:PHA983346 PQP983346:PQW983346 QAL983346:QAS983346 QKH983346:QKO983346 QUD983346:QUK983346 RDZ983346:REG983346 RNV983346:ROC983346 RXR983346:RXY983346 SHN983346:SHU983346 SRJ983346:SRQ983346 TBF983346:TBM983346 TLB983346:TLI983346 TUX983346:TVE983346 UET983346:UFA983346 UOP983346:UOW983346 UYL983346:UYS983346 VIH983346:VIO983346 VSD983346:VSK983346 WBZ983346:WCG983346 WLV983346:WMC983346 WVR983346:WVY983346 E302:E303 JD302:JD303 SZ302:SZ303 ACV302:ACV303 AMR302:AMR303 AWN302:AWN303 BGJ302:BGJ303 BQF302:BQF303 CAB302:CAB303 CJX302:CJX303 CTT302:CTT303 DDP302:DDP303 DNL302:DNL303 DXH302:DXH303 EHD302:EHD303 EQZ302:EQZ303 FAV302:FAV303 FKR302:FKR303 FUN302:FUN303 GEJ302:GEJ303 GOF302:GOF303 GYB302:GYB303 HHX302:HHX303 HRT302:HRT303 IBP302:IBP303 ILL302:ILL303 IVH302:IVH303 JFD302:JFD303 JOZ302:JOZ303 JYV302:JYV303 KIR302:KIR303 KSN302:KSN303 LCJ302:LCJ303 LMF302:LMF303 LWB302:LWB303 MFX302:MFX303 MPT302:MPT303 MZP302:MZP303 NJL302:NJL303 NTH302:NTH303 ODD302:ODD303 OMZ302:OMZ303 OWV302:OWV303 PGR302:PGR303 PQN302:PQN303 QAJ302:QAJ303 QKF302:QKF303 QUB302:QUB303 RDX302:RDX303 RNT302:RNT303 RXP302:RXP303 SHL302:SHL303 SRH302:SRH303 TBD302:TBD303 TKZ302:TKZ303 TUV302:TUV303 UER302:UER303 UON302:UON303 UYJ302:UYJ303 VIF302:VIF303 VSB302:VSB303 WBX302:WBX303 WLT302:WLT303 WVP302:WVP303 E65838:E65839 JD65838:JD65839 SZ65838:SZ65839 ACV65838:ACV65839 AMR65838:AMR65839 AWN65838:AWN65839 BGJ65838:BGJ65839 BQF65838:BQF65839 CAB65838:CAB65839 CJX65838:CJX65839 CTT65838:CTT65839 DDP65838:DDP65839 DNL65838:DNL65839 DXH65838:DXH65839 EHD65838:EHD65839 EQZ65838:EQZ65839 FAV65838:FAV65839 FKR65838:FKR65839 FUN65838:FUN65839 GEJ65838:GEJ65839 GOF65838:GOF65839 GYB65838:GYB65839 HHX65838:HHX65839 HRT65838:HRT65839 IBP65838:IBP65839 ILL65838:ILL65839 IVH65838:IVH65839 JFD65838:JFD65839 JOZ65838:JOZ65839 JYV65838:JYV65839 KIR65838:KIR65839 KSN65838:KSN65839 LCJ65838:LCJ65839 LMF65838:LMF65839 LWB65838:LWB65839 MFX65838:MFX65839 MPT65838:MPT65839 MZP65838:MZP65839 NJL65838:NJL65839 NTH65838:NTH65839 ODD65838:ODD65839 OMZ65838:OMZ65839 OWV65838:OWV65839 PGR65838:PGR65839 PQN65838:PQN65839 QAJ65838:QAJ65839 QKF65838:QKF65839 QUB65838:QUB65839 RDX65838:RDX65839 RNT65838:RNT65839 RXP65838:RXP65839 SHL65838:SHL65839 SRH65838:SRH65839 TBD65838:TBD65839 TKZ65838:TKZ65839 TUV65838:TUV65839 UER65838:UER65839 UON65838:UON65839 UYJ65838:UYJ65839 VIF65838:VIF65839 VSB65838:VSB65839 WBX65838:WBX65839 WLT65838:WLT65839 WVP65838:WVP65839 E131374:E131375 JD131374:JD131375 SZ131374:SZ131375 ACV131374:ACV131375 AMR131374:AMR131375 AWN131374:AWN131375 BGJ131374:BGJ131375 BQF131374:BQF131375 CAB131374:CAB131375 CJX131374:CJX131375 CTT131374:CTT131375 DDP131374:DDP131375 DNL131374:DNL131375 DXH131374:DXH131375 EHD131374:EHD131375 EQZ131374:EQZ131375 FAV131374:FAV131375 FKR131374:FKR131375 FUN131374:FUN131375 GEJ131374:GEJ131375 GOF131374:GOF131375 GYB131374:GYB131375 HHX131374:HHX131375 HRT131374:HRT131375 IBP131374:IBP131375 ILL131374:ILL131375 IVH131374:IVH131375 JFD131374:JFD131375 JOZ131374:JOZ131375 JYV131374:JYV131375 KIR131374:KIR131375 KSN131374:KSN131375 LCJ131374:LCJ131375 LMF131374:LMF131375 LWB131374:LWB131375 MFX131374:MFX131375 MPT131374:MPT131375 MZP131374:MZP131375 NJL131374:NJL131375 NTH131374:NTH131375 ODD131374:ODD131375 OMZ131374:OMZ131375 OWV131374:OWV131375 PGR131374:PGR131375 PQN131374:PQN131375 QAJ131374:QAJ131375 QKF131374:QKF131375 QUB131374:QUB131375 RDX131374:RDX131375 RNT131374:RNT131375 RXP131374:RXP131375 SHL131374:SHL131375 SRH131374:SRH131375 TBD131374:TBD131375 TKZ131374:TKZ131375 TUV131374:TUV131375 UER131374:UER131375 UON131374:UON131375 UYJ131374:UYJ131375 VIF131374:VIF131375 VSB131374:VSB131375 WBX131374:WBX131375 WLT131374:WLT131375 WVP131374:WVP131375 E196910:E196911 JD196910:JD196911 SZ196910:SZ196911 ACV196910:ACV196911 AMR196910:AMR196911 AWN196910:AWN196911 BGJ196910:BGJ196911 BQF196910:BQF196911 CAB196910:CAB196911 CJX196910:CJX196911 CTT196910:CTT196911 DDP196910:DDP196911 DNL196910:DNL196911 DXH196910:DXH196911 EHD196910:EHD196911 EQZ196910:EQZ196911 FAV196910:FAV196911 FKR196910:FKR196911 FUN196910:FUN196911 GEJ196910:GEJ196911 GOF196910:GOF196911 GYB196910:GYB196911 HHX196910:HHX196911 HRT196910:HRT196911 IBP196910:IBP196911 ILL196910:ILL196911 IVH196910:IVH196911 JFD196910:JFD196911 JOZ196910:JOZ196911 JYV196910:JYV196911 KIR196910:KIR196911 KSN196910:KSN196911 LCJ196910:LCJ196911 LMF196910:LMF196911 LWB196910:LWB196911 MFX196910:MFX196911 MPT196910:MPT196911 MZP196910:MZP196911 NJL196910:NJL196911 NTH196910:NTH196911 ODD196910:ODD196911 OMZ196910:OMZ196911 OWV196910:OWV196911 PGR196910:PGR196911 PQN196910:PQN196911 QAJ196910:QAJ196911 QKF196910:QKF196911 QUB196910:QUB196911 RDX196910:RDX196911 RNT196910:RNT196911 RXP196910:RXP196911 SHL196910:SHL196911 SRH196910:SRH196911 TBD196910:TBD196911 TKZ196910:TKZ196911 TUV196910:TUV196911 UER196910:UER196911 UON196910:UON196911 UYJ196910:UYJ196911 VIF196910:VIF196911 VSB196910:VSB196911 WBX196910:WBX196911 WLT196910:WLT196911 WVP196910:WVP196911 E262446:E262447 JD262446:JD262447 SZ262446:SZ262447 ACV262446:ACV262447 AMR262446:AMR262447 AWN262446:AWN262447 BGJ262446:BGJ262447 BQF262446:BQF262447 CAB262446:CAB262447 CJX262446:CJX262447 CTT262446:CTT262447 DDP262446:DDP262447 DNL262446:DNL262447 DXH262446:DXH262447 EHD262446:EHD262447 EQZ262446:EQZ262447 FAV262446:FAV262447 FKR262446:FKR262447 FUN262446:FUN262447 GEJ262446:GEJ262447 GOF262446:GOF262447 GYB262446:GYB262447 HHX262446:HHX262447 HRT262446:HRT262447 IBP262446:IBP262447 ILL262446:ILL262447 IVH262446:IVH262447 JFD262446:JFD262447 JOZ262446:JOZ262447 JYV262446:JYV262447 KIR262446:KIR262447 KSN262446:KSN262447 LCJ262446:LCJ262447 LMF262446:LMF262447 LWB262446:LWB262447 MFX262446:MFX262447 MPT262446:MPT262447 MZP262446:MZP262447 NJL262446:NJL262447 NTH262446:NTH262447 ODD262446:ODD262447 OMZ262446:OMZ262447 OWV262446:OWV262447 PGR262446:PGR262447 PQN262446:PQN262447 QAJ262446:QAJ262447 QKF262446:QKF262447 QUB262446:QUB262447 RDX262446:RDX262447 RNT262446:RNT262447 RXP262446:RXP262447 SHL262446:SHL262447 SRH262446:SRH262447 TBD262446:TBD262447 TKZ262446:TKZ262447 TUV262446:TUV262447 UER262446:UER262447 UON262446:UON262447 UYJ262446:UYJ262447 VIF262446:VIF262447 VSB262446:VSB262447 WBX262446:WBX262447 WLT262446:WLT262447 WVP262446:WVP262447 E327982:E327983 JD327982:JD327983 SZ327982:SZ327983 ACV327982:ACV327983 AMR327982:AMR327983 AWN327982:AWN327983 BGJ327982:BGJ327983 BQF327982:BQF327983 CAB327982:CAB327983 CJX327982:CJX327983 CTT327982:CTT327983 DDP327982:DDP327983 DNL327982:DNL327983 DXH327982:DXH327983 EHD327982:EHD327983 EQZ327982:EQZ327983 FAV327982:FAV327983 FKR327982:FKR327983 FUN327982:FUN327983 GEJ327982:GEJ327983 GOF327982:GOF327983 GYB327982:GYB327983 HHX327982:HHX327983 HRT327982:HRT327983 IBP327982:IBP327983 ILL327982:ILL327983 IVH327982:IVH327983 JFD327982:JFD327983 JOZ327982:JOZ327983 JYV327982:JYV327983 KIR327982:KIR327983 KSN327982:KSN327983 LCJ327982:LCJ327983 LMF327982:LMF327983 LWB327982:LWB327983 MFX327982:MFX327983 MPT327982:MPT327983 MZP327982:MZP327983 NJL327982:NJL327983 NTH327982:NTH327983 ODD327982:ODD327983 OMZ327982:OMZ327983 OWV327982:OWV327983 PGR327982:PGR327983 PQN327982:PQN327983 QAJ327982:QAJ327983 QKF327982:QKF327983 QUB327982:QUB327983 RDX327982:RDX327983 RNT327982:RNT327983 RXP327982:RXP327983 SHL327982:SHL327983 SRH327982:SRH327983 TBD327982:TBD327983 TKZ327982:TKZ327983 TUV327982:TUV327983 UER327982:UER327983 UON327982:UON327983 UYJ327982:UYJ327983 VIF327982:VIF327983 VSB327982:VSB327983 WBX327982:WBX327983 WLT327982:WLT327983 WVP327982:WVP327983 E393518:E393519 JD393518:JD393519 SZ393518:SZ393519 ACV393518:ACV393519 AMR393518:AMR393519 AWN393518:AWN393519 BGJ393518:BGJ393519 BQF393518:BQF393519 CAB393518:CAB393519 CJX393518:CJX393519 CTT393518:CTT393519 DDP393518:DDP393519 DNL393518:DNL393519 DXH393518:DXH393519 EHD393518:EHD393519 EQZ393518:EQZ393519 FAV393518:FAV393519 FKR393518:FKR393519 FUN393518:FUN393519 GEJ393518:GEJ393519 GOF393518:GOF393519 GYB393518:GYB393519 HHX393518:HHX393519 HRT393518:HRT393519 IBP393518:IBP393519 ILL393518:ILL393519 IVH393518:IVH393519 JFD393518:JFD393519 JOZ393518:JOZ393519 JYV393518:JYV393519 KIR393518:KIR393519 KSN393518:KSN393519 LCJ393518:LCJ393519 LMF393518:LMF393519 LWB393518:LWB393519 MFX393518:MFX393519 MPT393518:MPT393519 MZP393518:MZP393519 NJL393518:NJL393519 NTH393518:NTH393519 ODD393518:ODD393519 OMZ393518:OMZ393519 OWV393518:OWV393519 PGR393518:PGR393519 PQN393518:PQN393519 QAJ393518:QAJ393519 QKF393518:QKF393519 QUB393518:QUB393519 RDX393518:RDX393519 RNT393518:RNT393519 RXP393518:RXP393519 SHL393518:SHL393519 SRH393518:SRH393519 TBD393518:TBD393519 TKZ393518:TKZ393519 TUV393518:TUV393519 UER393518:UER393519 UON393518:UON393519 UYJ393518:UYJ393519 VIF393518:VIF393519 VSB393518:VSB393519 WBX393518:WBX393519 WLT393518:WLT393519 WVP393518:WVP393519 E459054:E459055 JD459054:JD459055 SZ459054:SZ459055 ACV459054:ACV459055 AMR459054:AMR459055 AWN459054:AWN459055 BGJ459054:BGJ459055 BQF459054:BQF459055 CAB459054:CAB459055 CJX459054:CJX459055 CTT459054:CTT459055 DDP459054:DDP459055 DNL459054:DNL459055 DXH459054:DXH459055 EHD459054:EHD459055 EQZ459054:EQZ459055 FAV459054:FAV459055 FKR459054:FKR459055 FUN459054:FUN459055 GEJ459054:GEJ459055 GOF459054:GOF459055 GYB459054:GYB459055 HHX459054:HHX459055 HRT459054:HRT459055 IBP459054:IBP459055 ILL459054:ILL459055 IVH459054:IVH459055 JFD459054:JFD459055 JOZ459054:JOZ459055 JYV459054:JYV459055 KIR459054:KIR459055 KSN459054:KSN459055 LCJ459054:LCJ459055 LMF459054:LMF459055 LWB459054:LWB459055 MFX459054:MFX459055 MPT459054:MPT459055 MZP459054:MZP459055 NJL459054:NJL459055 NTH459054:NTH459055 ODD459054:ODD459055 OMZ459054:OMZ459055 OWV459054:OWV459055 PGR459054:PGR459055 PQN459054:PQN459055 QAJ459054:QAJ459055 QKF459054:QKF459055 QUB459054:QUB459055 RDX459054:RDX459055 RNT459054:RNT459055 RXP459054:RXP459055 SHL459054:SHL459055 SRH459054:SRH459055 TBD459054:TBD459055 TKZ459054:TKZ459055 TUV459054:TUV459055 UER459054:UER459055 UON459054:UON459055 UYJ459054:UYJ459055 VIF459054:VIF459055 VSB459054:VSB459055 WBX459054:WBX459055 WLT459054:WLT459055 WVP459054:WVP459055 E524590:E524591 JD524590:JD524591 SZ524590:SZ524591 ACV524590:ACV524591 AMR524590:AMR524591 AWN524590:AWN524591 BGJ524590:BGJ524591 BQF524590:BQF524591 CAB524590:CAB524591 CJX524590:CJX524591 CTT524590:CTT524591 DDP524590:DDP524591 DNL524590:DNL524591 DXH524590:DXH524591 EHD524590:EHD524591 EQZ524590:EQZ524591 FAV524590:FAV524591 FKR524590:FKR524591 FUN524590:FUN524591 GEJ524590:GEJ524591 GOF524590:GOF524591 GYB524590:GYB524591 HHX524590:HHX524591 HRT524590:HRT524591 IBP524590:IBP524591 ILL524590:ILL524591 IVH524590:IVH524591 JFD524590:JFD524591 JOZ524590:JOZ524591 JYV524590:JYV524591 KIR524590:KIR524591 KSN524590:KSN524591 LCJ524590:LCJ524591 LMF524590:LMF524591 LWB524590:LWB524591 MFX524590:MFX524591 MPT524590:MPT524591 MZP524590:MZP524591 NJL524590:NJL524591 NTH524590:NTH524591 ODD524590:ODD524591 OMZ524590:OMZ524591 OWV524590:OWV524591 PGR524590:PGR524591 PQN524590:PQN524591 QAJ524590:QAJ524591 QKF524590:QKF524591 QUB524590:QUB524591 RDX524590:RDX524591 RNT524590:RNT524591 RXP524590:RXP524591 SHL524590:SHL524591 SRH524590:SRH524591 TBD524590:TBD524591 TKZ524590:TKZ524591 TUV524590:TUV524591 UER524590:UER524591 UON524590:UON524591 UYJ524590:UYJ524591 VIF524590:VIF524591 VSB524590:VSB524591 WBX524590:WBX524591 WLT524590:WLT524591 WVP524590:WVP524591 E590126:E590127 JD590126:JD590127 SZ590126:SZ590127 ACV590126:ACV590127 AMR590126:AMR590127 AWN590126:AWN590127 BGJ590126:BGJ590127 BQF590126:BQF590127 CAB590126:CAB590127 CJX590126:CJX590127 CTT590126:CTT590127 DDP590126:DDP590127 DNL590126:DNL590127 DXH590126:DXH590127 EHD590126:EHD590127 EQZ590126:EQZ590127 FAV590126:FAV590127 FKR590126:FKR590127 FUN590126:FUN590127 GEJ590126:GEJ590127 GOF590126:GOF590127 GYB590126:GYB590127 HHX590126:HHX590127 HRT590126:HRT590127 IBP590126:IBP590127 ILL590126:ILL590127 IVH590126:IVH590127 JFD590126:JFD590127 JOZ590126:JOZ590127 JYV590126:JYV590127 KIR590126:KIR590127 KSN590126:KSN590127 LCJ590126:LCJ590127 LMF590126:LMF590127 LWB590126:LWB590127 MFX590126:MFX590127 MPT590126:MPT590127 MZP590126:MZP590127 NJL590126:NJL590127 NTH590126:NTH590127 ODD590126:ODD590127 OMZ590126:OMZ590127 OWV590126:OWV590127 PGR590126:PGR590127 PQN590126:PQN590127 QAJ590126:QAJ590127 QKF590126:QKF590127 QUB590126:QUB590127 RDX590126:RDX590127 RNT590126:RNT590127 RXP590126:RXP590127 SHL590126:SHL590127 SRH590126:SRH590127 TBD590126:TBD590127 TKZ590126:TKZ590127 TUV590126:TUV590127 UER590126:UER590127 UON590126:UON590127 UYJ590126:UYJ590127 VIF590126:VIF590127 VSB590126:VSB590127 WBX590126:WBX590127 WLT590126:WLT590127 WVP590126:WVP590127 E655662:E655663 JD655662:JD655663 SZ655662:SZ655663 ACV655662:ACV655663 AMR655662:AMR655663 AWN655662:AWN655663 BGJ655662:BGJ655663 BQF655662:BQF655663 CAB655662:CAB655663 CJX655662:CJX655663 CTT655662:CTT655663 DDP655662:DDP655663 DNL655662:DNL655663 DXH655662:DXH655663 EHD655662:EHD655663 EQZ655662:EQZ655663 FAV655662:FAV655663 FKR655662:FKR655663 FUN655662:FUN655663 GEJ655662:GEJ655663 GOF655662:GOF655663 GYB655662:GYB655663 HHX655662:HHX655663 HRT655662:HRT655663 IBP655662:IBP655663 ILL655662:ILL655663 IVH655662:IVH655663 JFD655662:JFD655663 JOZ655662:JOZ655663 JYV655662:JYV655663 KIR655662:KIR655663 KSN655662:KSN655663 LCJ655662:LCJ655663 LMF655662:LMF655663 LWB655662:LWB655663 MFX655662:MFX655663 MPT655662:MPT655663 MZP655662:MZP655663 NJL655662:NJL655663 NTH655662:NTH655663 ODD655662:ODD655663 OMZ655662:OMZ655663 OWV655662:OWV655663 PGR655662:PGR655663 PQN655662:PQN655663 QAJ655662:QAJ655663 QKF655662:QKF655663 QUB655662:QUB655663 RDX655662:RDX655663 RNT655662:RNT655663 RXP655662:RXP655663 SHL655662:SHL655663 SRH655662:SRH655663 TBD655662:TBD655663 TKZ655662:TKZ655663 TUV655662:TUV655663 UER655662:UER655663 UON655662:UON655663 UYJ655662:UYJ655663 VIF655662:VIF655663 VSB655662:VSB655663 WBX655662:WBX655663 WLT655662:WLT655663 WVP655662:WVP655663 E721198:E721199 JD721198:JD721199 SZ721198:SZ721199 ACV721198:ACV721199 AMR721198:AMR721199 AWN721198:AWN721199 BGJ721198:BGJ721199 BQF721198:BQF721199 CAB721198:CAB721199 CJX721198:CJX721199 CTT721198:CTT721199 DDP721198:DDP721199 DNL721198:DNL721199 DXH721198:DXH721199 EHD721198:EHD721199 EQZ721198:EQZ721199 FAV721198:FAV721199 FKR721198:FKR721199 FUN721198:FUN721199 GEJ721198:GEJ721199 GOF721198:GOF721199 GYB721198:GYB721199 HHX721198:HHX721199 HRT721198:HRT721199 IBP721198:IBP721199 ILL721198:ILL721199 IVH721198:IVH721199 JFD721198:JFD721199 JOZ721198:JOZ721199 JYV721198:JYV721199 KIR721198:KIR721199 KSN721198:KSN721199 LCJ721198:LCJ721199 LMF721198:LMF721199 LWB721198:LWB721199 MFX721198:MFX721199 MPT721198:MPT721199 MZP721198:MZP721199 NJL721198:NJL721199 NTH721198:NTH721199 ODD721198:ODD721199 OMZ721198:OMZ721199 OWV721198:OWV721199 PGR721198:PGR721199 PQN721198:PQN721199 QAJ721198:QAJ721199 QKF721198:QKF721199 QUB721198:QUB721199 RDX721198:RDX721199 RNT721198:RNT721199 RXP721198:RXP721199 SHL721198:SHL721199 SRH721198:SRH721199 TBD721198:TBD721199 TKZ721198:TKZ721199 TUV721198:TUV721199 UER721198:UER721199 UON721198:UON721199 UYJ721198:UYJ721199 VIF721198:VIF721199 VSB721198:VSB721199 WBX721198:WBX721199 WLT721198:WLT721199 WVP721198:WVP721199 E786734:E786735 JD786734:JD786735 SZ786734:SZ786735 ACV786734:ACV786735 AMR786734:AMR786735 AWN786734:AWN786735 BGJ786734:BGJ786735 BQF786734:BQF786735 CAB786734:CAB786735 CJX786734:CJX786735 CTT786734:CTT786735 DDP786734:DDP786735 DNL786734:DNL786735 DXH786734:DXH786735 EHD786734:EHD786735 EQZ786734:EQZ786735 FAV786734:FAV786735 FKR786734:FKR786735 FUN786734:FUN786735 GEJ786734:GEJ786735 GOF786734:GOF786735 GYB786734:GYB786735 HHX786734:HHX786735 HRT786734:HRT786735 IBP786734:IBP786735 ILL786734:ILL786735 IVH786734:IVH786735 JFD786734:JFD786735 JOZ786734:JOZ786735 JYV786734:JYV786735 KIR786734:KIR786735 KSN786734:KSN786735 LCJ786734:LCJ786735 LMF786734:LMF786735 LWB786734:LWB786735 MFX786734:MFX786735 MPT786734:MPT786735 MZP786734:MZP786735 NJL786734:NJL786735 NTH786734:NTH786735 ODD786734:ODD786735 OMZ786734:OMZ786735 OWV786734:OWV786735 PGR786734:PGR786735 PQN786734:PQN786735 QAJ786734:QAJ786735 QKF786734:QKF786735 QUB786734:QUB786735 RDX786734:RDX786735 RNT786734:RNT786735 RXP786734:RXP786735 SHL786734:SHL786735 SRH786734:SRH786735 TBD786734:TBD786735 TKZ786734:TKZ786735 TUV786734:TUV786735 UER786734:UER786735 UON786734:UON786735 UYJ786734:UYJ786735 VIF786734:VIF786735 VSB786734:VSB786735 WBX786734:WBX786735 WLT786734:WLT786735 WVP786734:WVP786735 E852270:E852271 JD852270:JD852271 SZ852270:SZ852271 ACV852270:ACV852271 AMR852270:AMR852271 AWN852270:AWN852271 BGJ852270:BGJ852271 BQF852270:BQF852271 CAB852270:CAB852271 CJX852270:CJX852271 CTT852270:CTT852271 DDP852270:DDP852271 DNL852270:DNL852271 DXH852270:DXH852271 EHD852270:EHD852271 EQZ852270:EQZ852271 FAV852270:FAV852271 FKR852270:FKR852271 FUN852270:FUN852271 GEJ852270:GEJ852271 GOF852270:GOF852271 GYB852270:GYB852271 HHX852270:HHX852271 HRT852270:HRT852271 IBP852270:IBP852271 ILL852270:ILL852271 IVH852270:IVH852271 JFD852270:JFD852271 JOZ852270:JOZ852271 JYV852270:JYV852271 KIR852270:KIR852271 KSN852270:KSN852271 LCJ852270:LCJ852271 LMF852270:LMF852271 LWB852270:LWB852271 MFX852270:MFX852271 MPT852270:MPT852271 MZP852270:MZP852271 NJL852270:NJL852271 NTH852270:NTH852271 ODD852270:ODD852271 OMZ852270:OMZ852271 OWV852270:OWV852271 PGR852270:PGR852271 PQN852270:PQN852271 QAJ852270:QAJ852271 QKF852270:QKF852271 QUB852270:QUB852271 RDX852270:RDX852271 RNT852270:RNT852271 RXP852270:RXP852271 SHL852270:SHL852271 SRH852270:SRH852271 TBD852270:TBD852271 TKZ852270:TKZ852271 TUV852270:TUV852271 UER852270:UER852271 UON852270:UON852271 UYJ852270:UYJ852271 VIF852270:VIF852271 VSB852270:VSB852271 WBX852270:WBX852271 WLT852270:WLT852271 WVP852270:WVP852271 E917806:E917807 JD917806:JD917807 SZ917806:SZ917807 ACV917806:ACV917807 AMR917806:AMR917807 AWN917806:AWN917807 BGJ917806:BGJ917807 BQF917806:BQF917807 CAB917806:CAB917807 CJX917806:CJX917807 CTT917806:CTT917807 DDP917806:DDP917807 DNL917806:DNL917807 DXH917806:DXH917807 EHD917806:EHD917807 EQZ917806:EQZ917807 FAV917806:FAV917807 FKR917806:FKR917807 FUN917806:FUN917807 GEJ917806:GEJ917807 GOF917806:GOF917807 GYB917806:GYB917807 HHX917806:HHX917807 HRT917806:HRT917807 IBP917806:IBP917807 ILL917806:ILL917807 IVH917806:IVH917807 JFD917806:JFD917807 JOZ917806:JOZ917807 JYV917806:JYV917807 KIR917806:KIR917807 KSN917806:KSN917807 LCJ917806:LCJ917807 LMF917806:LMF917807 LWB917806:LWB917807 MFX917806:MFX917807 MPT917806:MPT917807 MZP917806:MZP917807 NJL917806:NJL917807 NTH917806:NTH917807 ODD917806:ODD917807 OMZ917806:OMZ917807 OWV917806:OWV917807 PGR917806:PGR917807 PQN917806:PQN917807 QAJ917806:QAJ917807 QKF917806:QKF917807 QUB917806:QUB917807 RDX917806:RDX917807 RNT917806:RNT917807 RXP917806:RXP917807 SHL917806:SHL917807 SRH917806:SRH917807 TBD917806:TBD917807 TKZ917806:TKZ917807 TUV917806:TUV917807 UER917806:UER917807 UON917806:UON917807 UYJ917806:UYJ917807 VIF917806:VIF917807 VSB917806:VSB917807 WBX917806:WBX917807 WLT917806:WLT917807 WVP917806:WVP917807 E983342:E983343 JD983342:JD983343 SZ983342:SZ983343 ACV983342:ACV983343 AMR983342:AMR983343 AWN983342:AWN983343 BGJ983342:BGJ983343 BQF983342:BQF983343 CAB983342:CAB983343 CJX983342:CJX983343 CTT983342:CTT983343 DDP983342:DDP983343 DNL983342:DNL983343 DXH983342:DXH983343 EHD983342:EHD983343 EQZ983342:EQZ983343 FAV983342:FAV983343 FKR983342:FKR983343 FUN983342:FUN983343 GEJ983342:GEJ983343 GOF983342:GOF983343 GYB983342:GYB983343 HHX983342:HHX983343 HRT983342:HRT983343 IBP983342:IBP983343 ILL983342:ILL983343 IVH983342:IVH983343 JFD983342:JFD983343 JOZ983342:JOZ983343 JYV983342:JYV983343 KIR983342:KIR983343 KSN983342:KSN983343 LCJ983342:LCJ983343 LMF983342:LMF983343 LWB983342:LWB983343 MFX983342:MFX983343 MPT983342:MPT983343 MZP983342:MZP983343 NJL983342:NJL983343 NTH983342:NTH983343 ODD983342:ODD983343 OMZ983342:OMZ983343 OWV983342:OWV983343 PGR983342:PGR983343 PQN983342:PQN983343 QAJ983342:QAJ983343 QKF983342:QKF983343 QUB983342:QUB983343 RDX983342:RDX983343 RNT983342:RNT983343 RXP983342:RXP983343 SHL983342:SHL983343 SRH983342:SRH983343 TBD983342:TBD983343 TKZ983342:TKZ983343 TUV983342:TUV983343 UER983342:UER983343 UON983342:UON983343 UYJ983342:UYJ983343 VIF983342:VIF983343 VSB983342:VSB983343 WBX983342:WBX983343 WLT983342:WLT983343 WVP983342:WVP983343 JF90:JM90 TB90:TI90 ACX90:ADE90 AMT90:ANA90 AWP90:AWW90 BGL90:BGS90 BQH90:BQO90 CAD90:CAK90 CJZ90:CKG90 CTV90:CUC90 DDR90:DDY90 DNN90:DNU90 DXJ90:DXQ90 EHF90:EHM90 ERB90:ERI90 FAX90:FBE90 FKT90:FLA90 FUP90:FUW90 GEL90:GES90 GOH90:GOO90 GYD90:GYK90 HHZ90:HIG90 HRV90:HSC90 IBR90:IBY90 ILN90:ILU90 IVJ90:IVQ90 JFF90:JFM90 JPB90:JPI90 JYX90:JZE90 KIT90:KJA90 KSP90:KSW90 LCL90:LCS90 LMH90:LMO90 LWD90:LWK90 MFZ90:MGG90 MPV90:MQC90 MZR90:MZY90 NJN90:NJU90 NTJ90:NTQ90 ODF90:ODM90 ONB90:ONI90 OWX90:OXE90 PGT90:PHA90 PQP90:PQW90 QAL90:QAS90 QKH90:QKO90 QUD90:QUK90 RDZ90:REG90 RNV90:ROC90 RXR90:RXY90 SHN90:SHU90 SRJ90:SRQ90 TBF90:TBM90 TLB90:TLI90 TUX90:TVE90 UET90:UFA90 UOP90:UOW90 UYL90:UYS90 VIH90:VIO90 VSD90:VSK90 WBZ90:WCG90 WLV90:WMC90 WVR90:WVY90 JF65626:JM65626 TB65626:TI65626 ACX65626:ADE65626 AMT65626:ANA65626 AWP65626:AWW65626 BGL65626:BGS65626 BQH65626:BQO65626 CAD65626:CAK65626 CJZ65626:CKG65626 CTV65626:CUC65626 DDR65626:DDY65626 DNN65626:DNU65626 DXJ65626:DXQ65626 EHF65626:EHM65626 ERB65626:ERI65626 FAX65626:FBE65626 FKT65626:FLA65626 FUP65626:FUW65626 GEL65626:GES65626 GOH65626:GOO65626 GYD65626:GYK65626 HHZ65626:HIG65626 HRV65626:HSC65626 IBR65626:IBY65626 ILN65626:ILU65626 IVJ65626:IVQ65626 JFF65626:JFM65626 JPB65626:JPI65626 JYX65626:JZE65626 KIT65626:KJA65626 KSP65626:KSW65626 LCL65626:LCS65626 LMH65626:LMO65626 LWD65626:LWK65626 MFZ65626:MGG65626 MPV65626:MQC65626 MZR65626:MZY65626 NJN65626:NJU65626 NTJ65626:NTQ65626 ODF65626:ODM65626 ONB65626:ONI65626 OWX65626:OXE65626 PGT65626:PHA65626 PQP65626:PQW65626 QAL65626:QAS65626 QKH65626:QKO65626 QUD65626:QUK65626 RDZ65626:REG65626 RNV65626:ROC65626 RXR65626:RXY65626 SHN65626:SHU65626 SRJ65626:SRQ65626 TBF65626:TBM65626 TLB65626:TLI65626 TUX65626:TVE65626 UET65626:UFA65626 UOP65626:UOW65626 UYL65626:UYS65626 VIH65626:VIO65626 VSD65626:VSK65626 WBZ65626:WCG65626 WLV65626:WMC65626 WVR65626:WVY65626 JF131162:JM131162 TB131162:TI131162 ACX131162:ADE131162 AMT131162:ANA131162 AWP131162:AWW131162 BGL131162:BGS131162 BQH131162:BQO131162 CAD131162:CAK131162 CJZ131162:CKG131162 CTV131162:CUC131162 DDR131162:DDY131162 DNN131162:DNU131162 DXJ131162:DXQ131162 EHF131162:EHM131162 ERB131162:ERI131162 FAX131162:FBE131162 FKT131162:FLA131162 FUP131162:FUW131162 GEL131162:GES131162 GOH131162:GOO131162 GYD131162:GYK131162 HHZ131162:HIG131162 HRV131162:HSC131162 IBR131162:IBY131162 ILN131162:ILU131162 IVJ131162:IVQ131162 JFF131162:JFM131162 JPB131162:JPI131162 JYX131162:JZE131162 KIT131162:KJA131162 KSP131162:KSW131162 LCL131162:LCS131162 LMH131162:LMO131162 LWD131162:LWK131162 MFZ131162:MGG131162 MPV131162:MQC131162 MZR131162:MZY131162 NJN131162:NJU131162 NTJ131162:NTQ131162 ODF131162:ODM131162 ONB131162:ONI131162 OWX131162:OXE131162 PGT131162:PHA131162 PQP131162:PQW131162 QAL131162:QAS131162 QKH131162:QKO131162 QUD131162:QUK131162 RDZ131162:REG131162 RNV131162:ROC131162 RXR131162:RXY131162 SHN131162:SHU131162 SRJ131162:SRQ131162 TBF131162:TBM131162 TLB131162:TLI131162 TUX131162:TVE131162 UET131162:UFA131162 UOP131162:UOW131162 UYL131162:UYS131162 VIH131162:VIO131162 VSD131162:VSK131162 WBZ131162:WCG131162 WLV131162:WMC131162 WVR131162:WVY131162 JF196698:JM196698 TB196698:TI196698 ACX196698:ADE196698 AMT196698:ANA196698 AWP196698:AWW196698 BGL196698:BGS196698 BQH196698:BQO196698 CAD196698:CAK196698 CJZ196698:CKG196698 CTV196698:CUC196698 DDR196698:DDY196698 DNN196698:DNU196698 DXJ196698:DXQ196698 EHF196698:EHM196698 ERB196698:ERI196698 FAX196698:FBE196698 FKT196698:FLA196698 FUP196698:FUW196698 GEL196698:GES196698 GOH196698:GOO196698 GYD196698:GYK196698 HHZ196698:HIG196698 HRV196698:HSC196698 IBR196698:IBY196698 ILN196698:ILU196698 IVJ196698:IVQ196698 JFF196698:JFM196698 JPB196698:JPI196698 JYX196698:JZE196698 KIT196698:KJA196698 KSP196698:KSW196698 LCL196698:LCS196698 LMH196698:LMO196698 LWD196698:LWK196698 MFZ196698:MGG196698 MPV196698:MQC196698 MZR196698:MZY196698 NJN196698:NJU196698 NTJ196698:NTQ196698 ODF196698:ODM196698 ONB196698:ONI196698 OWX196698:OXE196698 PGT196698:PHA196698 PQP196698:PQW196698 QAL196698:QAS196698 QKH196698:QKO196698 QUD196698:QUK196698 RDZ196698:REG196698 RNV196698:ROC196698 RXR196698:RXY196698 SHN196698:SHU196698 SRJ196698:SRQ196698 TBF196698:TBM196698 TLB196698:TLI196698 TUX196698:TVE196698 UET196698:UFA196698 UOP196698:UOW196698 UYL196698:UYS196698 VIH196698:VIO196698 VSD196698:VSK196698 WBZ196698:WCG196698 WLV196698:WMC196698 WVR196698:WVY196698 JF262234:JM262234 TB262234:TI262234 ACX262234:ADE262234 AMT262234:ANA262234 AWP262234:AWW262234 BGL262234:BGS262234 BQH262234:BQO262234 CAD262234:CAK262234 CJZ262234:CKG262234 CTV262234:CUC262234 DDR262234:DDY262234 DNN262234:DNU262234 DXJ262234:DXQ262234 EHF262234:EHM262234 ERB262234:ERI262234 FAX262234:FBE262234 FKT262234:FLA262234 FUP262234:FUW262234 GEL262234:GES262234 GOH262234:GOO262234 GYD262234:GYK262234 HHZ262234:HIG262234 HRV262234:HSC262234 IBR262234:IBY262234 ILN262234:ILU262234 IVJ262234:IVQ262234 JFF262234:JFM262234 JPB262234:JPI262234 JYX262234:JZE262234 KIT262234:KJA262234 KSP262234:KSW262234 LCL262234:LCS262234 LMH262234:LMO262234 LWD262234:LWK262234 MFZ262234:MGG262234 MPV262234:MQC262234 MZR262234:MZY262234 NJN262234:NJU262234 NTJ262234:NTQ262234 ODF262234:ODM262234 ONB262234:ONI262234 OWX262234:OXE262234 PGT262234:PHA262234 PQP262234:PQW262234 QAL262234:QAS262234 QKH262234:QKO262234 QUD262234:QUK262234 RDZ262234:REG262234 RNV262234:ROC262234 RXR262234:RXY262234 SHN262234:SHU262234 SRJ262234:SRQ262234 TBF262234:TBM262234 TLB262234:TLI262234 TUX262234:TVE262234 UET262234:UFA262234 UOP262234:UOW262234 UYL262234:UYS262234 VIH262234:VIO262234 VSD262234:VSK262234 WBZ262234:WCG262234 WLV262234:WMC262234 WVR262234:WVY262234 JF327770:JM327770 TB327770:TI327770 ACX327770:ADE327770 AMT327770:ANA327770 AWP327770:AWW327770 BGL327770:BGS327770 BQH327770:BQO327770 CAD327770:CAK327770 CJZ327770:CKG327770 CTV327770:CUC327770 DDR327770:DDY327770 DNN327770:DNU327770 DXJ327770:DXQ327770 EHF327770:EHM327770 ERB327770:ERI327770 FAX327770:FBE327770 FKT327770:FLA327770 FUP327770:FUW327770 GEL327770:GES327770 GOH327770:GOO327770 GYD327770:GYK327770 HHZ327770:HIG327770 HRV327770:HSC327770 IBR327770:IBY327770 ILN327770:ILU327770 IVJ327770:IVQ327770 JFF327770:JFM327770 JPB327770:JPI327770 JYX327770:JZE327770 KIT327770:KJA327770 KSP327770:KSW327770 LCL327770:LCS327770 LMH327770:LMO327770 LWD327770:LWK327770 MFZ327770:MGG327770 MPV327770:MQC327770 MZR327770:MZY327770 NJN327770:NJU327770 NTJ327770:NTQ327770 ODF327770:ODM327770 ONB327770:ONI327770 OWX327770:OXE327770 PGT327770:PHA327770 PQP327770:PQW327770 QAL327770:QAS327770 QKH327770:QKO327770 QUD327770:QUK327770 RDZ327770:REG327770 RNV327770:ROC327770 RXR327770:RXY327770 SHN327770:SHU327770 SRJ327770:SRQ327770 TBF327770:TBM327770 TLB327770:TLI327770 TUX327770:TVE327770 UET327770:UFA327770 UOP327770:UOW327770 UYL327770:UYS327770 VIH327770:VIO327770 VSD327770:VSK327770 WBZ327770:WCG327770 WLV327770:WMC327770 WVR327770:WVY327770 JF393306:JM393306 TB393306:TI393306 ACX393306:ADE393306 AMT393306:ANA393306 AWP393306:AWW393306 BGL393306:BGS393306 BQH393306:BQO393306 CAD393306:CAK393306 CJZ393306:CKG393306 CTV393306:CUC393306 DDR393306:DDY393306 DNN393306:DNU393306 DXJ393306:DXQ393306 EHF393306:EHM393306 ERB393306:ERI393306 FAX393306:FBE393306 FKT393306:FLA393306 FUP393306:FUW393306 GEL393306:GES393306 GOH393306:GOO393306 GYD393306:GYK393306 HHZ393306:HIG393306 HRV393306:HSC393306 IBR393306:IBY393306 ILN393306:ILU393306 IVJ393306:IVQ393306 JFF393306:JFM393306 JPB393306:JPI393306 JYX393306:JZE393306 KIT393306:KJA393306 KSP393306:KSW393306 LCL393306:LCS393306 LMH393306:LMO393306 LWD393306:LWK393306 MFZ393306:MGG393306 MPV393306:MQC393306 MZR393306:MZY393306 NJN393306:NJU393306 NTJ393306:NTQ393306 ODF393306:ODM393306 ONB393306:ONI393306 OWX393306:OXE393306 PGT393306:PHA393306 PQP393306:PQW393306 QAL393306:QAS393306 QKH393306:QKO393306 QUD393306:QUK393306 RDZ393306:REG393306 RNV393306:ROC393306 RXR393306:RXY393306 SHN393306:SHU393306 SRJ393306:SRQ393306 TBF393306:TBM393306 TLB393306:TLI393306 TUX393306:TVE393306 UET393306:UFA393306 UOP393306:UOW393306 UYL393306:UYS393306 VIH393306:VIO393306 VSD393306:VSK393306 WBZ393306:WCG393306 WLV393306:WMC393306 WVR393306:WVY393306 JF458842:JM458842 TB458842:TI458842 ACX458842:ADE458842 AMT458842:ANA458842 AWP458842:AWW458842 BGL458842:BGS458842 BQH458842:BQO458842 CAD458842:CAK458842 CJZ458842:CKG458842 CTV458842:CUC458842 DDR458842:DDY458842 DNN458842:DNU458842 DXJ458842:DXQ458842 EHF458842:EHM458842 ERB458842:ERI458842 FAX458842:FBE458842 FKT458842:FLA458842 FUP458842:FUW458842 GEL458842:GES458842 GOH458842:GOO458842 GYD458842:GYK458842 HHZ458842:HIG458842 HRV458842:HSC458842 IBR458842:IBY458842 ILN458842:ILU458842 IVJ458842:IVQ458842 JFF458842:JFM458842 JPB458842:JPI458842 JYX458842:JZE458842 KIT458842:KJA458842 KSP458842:KSW458842 LCL458842:LCS458842 LMH458842:LMO458842 LWD458842:LWK458842 MFZ458842:MGG458842 MPV458842:MQC458842 MZR458842:MZY458842 NJN458842:NJU458842 NTJ458842:NTQ458842 ODF458842:ODM458842 ONB458842:ONI458842 OWX458842:OXE458842 PGT458842:PHA458842 PQP458842:PQW458842 QAL458842:QAS458842 QKH458842:QKO458842 QUD458842:QUK458842 RDZ458842:REG458842 RNV458842:ROC458842 RXR458842:RXY458842 SHN458842:SHU458842 SRJ458842:SRQ458842 TBF458842:TBM458842 TLB458842:TLI458842 TUX458842:TVE458842 UET458842:UFA458842 UOP458842:UOW458842 UYL458842:UYS458842 VIH458842:VIO458842 VSD458842:VSK458842 WBZ458842:WCG458842 WLV458842:WMC458842 WVR458842:WVY458842 JF524378:JM524378 TB524378:TI524378 ACX524378:ADE524378 AMT524378:ANA524378 AWP524378:AWW524378 BGL524378:BGS524378 BQH524378:BQO524378 CAD524378:CAK524378 CJZ524378:CKG524378 CTV524378:CUC524378 DDR524378:DDY524378 DNN524378:DNU524378 DXJ524378:DXQ524378 EHF524378:EHM524378 ERB524378:ERI524378 FAX524378:FBE524378 FKT524378:FLA524378 FUP524378:FUW524378 GEL524378:GES524378 GOH524378:GOO524378 GYD524378:GYK524378 HHZ524378:HIG524378 HRV524378:HSC524378 IBR524378:IBY524378 ILN524378:ILU524378 IVJ524378:IVQ524378 JFF524378:JFM524378 JPB524378:JPI524378 JYX524378:JZE524378 KIT524378:KJA524378 KSP524378:KSW524378 LCL524378:LCS524378 LMH524378:LMO524378 LWD524378:LWK524378 MFZ524378:MGG524378 MPV524378:MQC524378 MZR524378:MZY524378 NJN524378:NJU524378 NTJ524378:NTQ524378 ODF524378:ODM524378 ONB524378:ONI524378 OWX524378:OXE524378 PGT524378:PHA524378 PQP524378:PQW524378 QAL524378:QAS524378 QKH524378:QKO524378 QUD524378:QUK524378 RDZ524378:REG524378 RNV524378:ROC524378 RXR524378:RXY524378 SHN524378:SHU524378 SRJ524378:SRQ524378 TBF524378:TBM524378 TLB524378:TLI524378 TUX524378:TVE524378 UET524378:UFA524378 UOP524378:UOW524378 UYL524378:UYS524378 VIH524378:VIO524378 VSD524378:VSK524378 WBZ524378:WCG524378 WLV524378:WMC524378 WVR524378:WVY524378 JF589914:JM589914 TB589914:TI589914 ACX589914:ADE589914 AMT589914:ANA589914 AWP589914:AWW589914 BGL589914:BGS589914 BQH589914:BQO589914 CAD589914:CAK589914 CJZ589914:CKG589914 CTV589914:CUC589914 DDR589914:DDY589914 DNN589914:DNU589914 DXJ589914:DXQ589914 EHF589914:EHM589914 ERB589914:ERI589914 FAX589914:FBE589914 FKT589914:FLA589914 FUP589914:FUW589914 GEL589914:GES589914 GOH589914:GOO589914 GYD589914:GYK589914 HHZ589914:HIG589914 HRV589914:HSC589914 IBR589914:IBY589914 ILN589914:ILU589914 IVJ589914:IVQ589914 JFF589914:JFM589914 JPB589914:JPI589914 JYX589914:JZE589914 KIT589914:KJA589914 KSP589914:KSW589914 LCL589914:LCS589914 LMH589914:LMO589914 LWD589914:LWK589914 MFZ589914:MGG589914 MPV589914:MQC589914 MZR589914:MZY589914 NJN589914:NJU589914 NTJ589914:NTQ589914 ODF589914:ODM589914 ONB589914:ONI589914 OWX589914:OXE589914 PGT589914:PHA589914 PQP589914:PQW589914 QAL589914:QAS589914 QKH589914:QKO589914 QUD589914:QUK589914 RDZ589914:REG589914 RNV589914:ROC589914 RXR589914:RXY589914 SHN589914:SHU589914 SRJ589914:SRQ589914 TBF589914:TBM589914 TLB589914:TLI589914 TUX589914:TVE589914 UET589914:UFA589914 UOP589914:UOW589914 UYL589914:UYS589914 VIH589914:VIO589914 VSD589914:VSK589914 WBZ589914:WCG589914 WLV589914:WMC589914 WVR589914:WVY589914 JF655450:JM655450 TB655450:TI655450 ACX655450:ADE655450 AMT655450:ANA655450 AWP655450:AWW655450 BGL655450:BGS655450 BQH655450:BQO655450 CAD655450:CAK655450 CJZ655450:CKG655450 CTV655450:CUC655450 DDR655450:DDY655450 DNN655450:DNU655450 DXJ655450:DXQ655450 EHF655450:EHM655450 ERB655450:ERI655450 FAX655450:FBE655450 FKT655450:FLA655450 FUP655450:FUW655450 GEL655450:GES655450 GOH655450:GOO655450 GYD655450:GYK655450 HHZ655450:HIG655450 HRV655450:HSC655450 IBR655450:IBY655450 ILN655450:ILU655450 IVJ655450:IVQ655450 JFF655450:JFM655450 JPB655450:JPI655450 JYX655450:JZE655450 KIT655450:KJA655450 KSP655450:KSW655450 LCL655450:LCS655450 LMH655450:LMO655450 LWD655450:LWK655450 MFZ655450:MGG655450 MPV655450:MQC655450 MZR655450:MZY655450 NJN655450:NJU655450 NTJ655450:NTQ655450 ODF655450:ODM655450 ONB655450:ONI655450 OWX655450:OXE655450 PGT655450:PHA655450 PQP655450:PQW655450 QAL655450:QAS655450 QKH655450:QKO655450 QUD655450:QUK655450 RDZ655450:REG655450 RNV655450:ROC655450 RXR655450:RXY655450 SHN655450:SHU655450 SRJ655450:SRQ655450 TBF655450:TBM655450 TLB655450:TLI655450 TUX655450:TVE655450 UET655450:UFA655450 UOP655450:UOW655450 UYL655450:UYS655450 VIH655450:VIO655450 VSD655450:VSK655450 WBZ655450:WCG655450 WLV655450:WMC655450 WVR655450:WVY655450 JF720986:JM720986 TB720986:TI720986 ACX720986:ADE720986 AMT720986:ANA720986 AWP720986:AWW720986 BGL720986:BGS720986 BQH720986:BQO720986 CAD720986:CAK720986 CJZ720986:CKG720986 CTV720986:CUC720986 DDR720986:DDY720986 DNN720986:DNU720986 DXJ720986:DXQ720986 EHF720986:EHM720986 ERB720986:ERI720986 FAX720986:FBE720986 FKT720986:FLA720986 FUP720986:FUW720986 GEL720986:GES720986 GOH720986:GOO720986 GYD720986:GYK720986 HHZ720986:HIG720986 HRV720986:HSC720986 IBR720986:IBY720986 ILN720986:ILU720986 IVJ720986:IVQ720986 JFF720986:JFM720986 JPB720986:JPI720986 JYX720986:JZE720986 KIT720986:KJA720986 KSP720986:KSW720986 LCL720986:LCS720986 LMH720986:LMO720986 LWD720986:LWK720986 MFZ720986:MGG720986 MPV720986:MQC720986 MZR720986:MZY720986 NJN720986:NJU720986 NTJ720986:NTQ720986 ODF720986:ODM720986 ONB720986:ONI720986 OWX720986:OXE720986 PGT720986:PHA720986 PQP720986:PQW720986 QAL720986:QAS720986 QKH720986:QKO720986 QUD720986:QUK720986 RDZ720986:REG720986 RNV720986:ROC720986 RXR720986:RXY720986 SHN720986:SHU720986 SRJ720986:SRQ720986 TBF720986:TBM720986 TLB720986:TLI720986 TUX720986:TVE720986 UET720986:UFA720986 UOP720986:UOW720986 UYL720986:UYS720986 VIH720986:VIO720986 VSD720986:VSK720986 WBZ720986:WCG720986 WLV720986:WMC720986 WVR720986:WVY720986 JF786522:JM786522 TB786522:TI786522 ACX786522:ADE786522 AMT786522:ANA786522 AWP786522:AWW786522 BGL786522:BGS786522 BQH786522:BQO786522 CAD786522:CAK786522 CJZ786522:CKG786522 CTV786522:CUC786522 DDR786522:DDY786522 DNN786522:DNU786522 DXJ786522:DXQ786522 EHF786522:EHM786522 ERB786522:ERI786522 FAX786522:FBE786522 FKT786522:FLA786522 FUP786522:FUW786522 GEL786522:GES786522 GOH786522:GOO786522 GYD786522:GYK786522 HHZ786522:HIG786522 HRV786522:HSC786522 IBR786522:IBY786522 ILN786522:ILU786522 IVJ786522:IVQ786522 JFF786522:JFM786522 JPB786522:JPI786522 JYX786522:JZE786522 KIT786522:KJA786522 KSP786522:KSW786522 LCL786522:LCS786522 LMH786522:LMO786522 LWD786522:LWK786522 MFZ786522:MGG786522 MPV786522:MQC786522 MZR786522:MZY786522 NJN786522:NJU786522 NTJ786522:NTQ786522 ODF786522:ODM786522 ONB786522:ONI786522 OWX786522:OXE786522 PGT786522:PHA786522 PQP786522:PQW786522 QAL786522:QAS786522 QKH786522:QKO786522 QUD786522:QUK786522 RDZ786522:REG786522 RNV786522:ROC786522 RXR786522:RXY786522 SHN786522:SHU786522 SRJ786522:SRQ786522 TBF786522:TBM786522 TLB786522:TLI786522 TUX786522:TVE786522 UET786522:UFA786522 UOP786522:UOW786522 UYL786522:UYS786522 VIH786522:VIO786522 VSD786522:VSK786522 WBZ786522:WCG786522 WLV786522:WMC786522 WVR786522:WVY786522 JF852058:JM852058 TB852058:TI852058 ACX852058:ADE852058 AMT852058:ANA852058 AWP852058:AWW852058 BGL852058:BGS852058 BQH852058:BQO852058 CAD852058:CAK852058 CJZ852058:CKG852058 CTV852058:CUC852058 DDR852058:DDY852058 DNN852058:DNU852058 DXJ852058:DXQ852058 EHF852058:EHM852058 ERB852058:ERI852058 FAX852058:FBE852058 FKT852058:FLA852058 FUP852058:FUW852058 GEL852058:GES852058 GOH852058:GOO852058 GYD852058:GYK852058 HHZ852058:HIG852058 HRV852058:HSC852058 IBR852058:IBY852058 ILN852058:ILU852058 IVJ852058:IVQ852058 JFF852058:JFM852058 JPB852058:JPI852058 JYX852058:JZE852058 KIT852058:KJA852058 KSP852058:KSW852058 LCL852058:LCS852058 LMH852058:LMO852058 LWD852058:LWK852058 MFZ852058:MGG852058 MPV852058:MQC852058 MZR852058:MZY852058 NJN852058:NJU852058 NTJ852058:NTQ852058 ODF852058:ODM852058 ONB852058:ONI852058 OWX852058:OXE852058 PGT852058:PHA852058 PQP852058:PQW852058 QAL852058:QAS852058 QKH852058:QKO852058 QUD852058:QUK852058 RDZ852058:REG852058 RNV852058:ROC852058 RXR852058:RXY852058 SHN852058:SHU852058 SRJ852058:SRQ852058 TBF852058:TBM852058 TLB852058:TLI852058 TUX852058:TVE852058 UET852058:UFA852058 UOP852058:UOW852058 UYL852058:UYS852058 VIH852058:VIO852058 VSD852058:VSK852058 WBZ852058:WCG852058 WLV852058:WMC852058 WVR852058:WVY852058 JF917594:JM917594 TB917594:TI917594 ACX917594:ADE917594 AMT917594:ANA917594 AWP917594:AWW917594 BGL917594:BGS917594 BQH917594:BQO917594 CAD917594:CAK917594 CJZ917594:CKG917594 CTV917594:CUC917594 DDR917594:DDY917594 DNN917594:DNU917594 DXJ917594:DXQ917594 EHF917594:EHM917594 ERB917594:ERI917594 FAX917594:FBE917594 FKT917594:FLA917594 FUP917594:FUW917594 GEL917594:GES917594 GOH917594:GOO917594 GYD917594:GYK917594 HHZ917594:HIG917594 HRV917594:HSC917594 IBR917594:IBY917594 ILN917594:ILU917594 IVJ917594:IVQ917594 JFF917594:JFM917594 JPB917594:JPI917594 JYX917594:JZE917594 KIT917594:KJA917594 KSP917594:KSW917594 LCL917594:LCS917594 LMH917594:LMO917594 LWD917594:LWK917594 MFZ917594:MGG917594 MPV917594:MQC917594 MZR917594:MZY917594 NJN917594:NJU917594 NTJ917594:NTQ917594 ODF917594:ODM917594 ONB917594:ONI917594 OWX917594:OXE917594 PGT917594:PHA917594 PQP917594:PQW917594 QAL917594:QAS917594 QKH917594:QKO917594 QUD917594:QUK917594 RDZ917594:REG917594 RNV917594:ROC917594 RXR917594:RXY917594 SHN917594:SHU917594 SRJ917594:SRQ917594 TBF917594:TBM917594 TLB917594:TLI917594 TUX917594:TVE917594 UET917594:UFA917594 UOP917594:UOW917594 UYL917594:UYS917594 VIH917594:VIO917594 VSD917594:VSK917594 WBZ917594:WCG917594 WLV917594:WMC917594 WVR917594:WVY917594 JF983130:JM983130 TB983130:TI983130 ACX983130:ADE983130 AMT983130:ANA983130 AWP983130:AWW983130 BGL983130:BGS983130 BQH983130:BQO983130 CAD983130:CAK983130 CJZ983130:CKG983130 CTV983130:CUC983130 DDR983130:DDY983130 DNN983130:DNU983130 DXJ983130:DXQ983130 EHF983130:EHM983130 ERB983130:ERI983130 FAX983130:FBE983130 FKT983130:FLA983130 FUP983130:FUW983130 GEL983130:GES983130 GOH983130:GOO983130 GYD983130:GYK983130 HHZ983130:HIG983130 HRV983130:HSC983130 IBR983130:IBY983130 ILN983130:ILU983130 IVJ983130:IVQ983130 JFF983130:JFM983130 JPB983130:JPI983130 JYX983130:JZE983130 KIT983130:KJA983130 KSP983130:KSW983130 LCL983130:LCS983130 LMH983130:LMO983130 LWD983130:LWK983130 MFZ983130:MGG983130 MPV983130:MQC983130 MZR983130:MZY983130 NJN983130:NJU983130 NTJ983130:NTQ983130 ODF983130:ODM983130 ONB983130:ONI983130 OWX983130:OXE983130 PGT983130:PHA983130 PQP983130:PQW983130 QAL983130:QAS983130 QKH983130:QKO983130 QUD983130:QUK983130 RDZ983130:REG983130 RNV983130:ROC983130 RXR983130:RXY983130 SHN983130:SHU983130 SRJ983130:SRQ983130 TBF983130:TBM983130 TLB983130:TLI983130 TUX983130:TVE983130 UET983130:UFA983130 UOP983130:UOW983130 UYL983130:UYS983130 VIH983130:VIO983130 VSD983130:VSK983130 WBZ983130:WCG983130 WLV983130:WMC983130 WVR983130:WVY983130 JF12:JM12 TB12:TI12 ACX12:ADE12 AMT12:ANA12 AWP12:AWW12 BGL12:BGS12 BQH12:BQO12 CAD12:CAK12 CJZ12:CKG12 CTV12:CUC12 DDR12:DDY12 DNN12:DNU12 DXJ12:DXQ12 EHF12:EHM12 ERB12:ERI12 FAX12:FBE12 FKT12:FLA12 FUP12:FUW12 GEL12:GES12 GOH12:GOO12 GYD12:GYK12 HHZ12:HIG12 HRV12:HSC12 IBR12:IBY12 ILN12:ILU12 IVJ12:IVQ12 JFF12:JFM12 JPB12:JPI12 JYX12:JZE12 KIT12:KJA12 KSP12:KSW12 LCL12:LCS12 LMH12:LMO12 LWD12:LWK12 MFZ12:MGG12 MPV12:MQC12 MZR12:MZY12 NJN12:NJU12 NTJ12:NTQ12 ODF12:ODM12 ONB12:ONI12 OWX12:OXE12 PGT12:PHA12 PQP12:PQW12 QAL12:QAS12 QKH12:QKO12 QUD12:QUK12 RDZ12:REG12 RNV12:ROC12 RXR12:RXY12 SHN12:SHU12 SRJ12:SRQ12 TBF12:TBM12 TLB12:TLI12 TUX12:TVE12 UET12:UFA12 UOP12:UOW12 UYL12:UYS12 VIH12:VIO12 VSD12:VSK12 WBZ12:WCG12 WLV12:WMC12 WVR12:WVY12 JF65548:JM65548 TB65548:TI65548 ACX65548:ADE65548 AMT65548:ANA65548 AWP65548:AWW65548 BGL65548:BGS65548 BQH65548:BQO65548 CAD65548:CAK65548 CJZ65548:CKG65548 CTV65548:CUC65548 DDR65548:DDY65548 DNN65548:DNU65548 DXJ65548:DXQ65548 EHF65548:EHM65548 ERB65548:ERI65548 FAX65548:FBE65548 FKT65548:FLA65548 FUP65548:FUW65548 GEL65548:GES65548 GOH65548:GOO65548 GYD65548:GYK65548 HHZ65548:HIG65548 HRV65548:HSC65548 IBR65548:IBY65548 ILN65548:ILU65548 IVJ65548:IVQ65548 JFF65548:JFM65548 JPB65548:JPI65548 JYX65548:JZE65548 KIT65548:KJA65548 KSP65548:KSW65548 LCL65548:LCS65548 LMH65548:LMO65548 LWD65548:LWK65548 MFZ65548:MGG65548 MPV65548:MQC65548 MZR65548:MZY65548 NJN65548:NJU65548 NTJ65548:NTQ65548 ODF65548:ODM65548 ONB65548:ONI65548 OWX65548:OXE65548 PGT65548:PHA65548 PQP65548:PQW65548 QAL65548:QAS65548 QKH65548:QKO65548 QUD65548:QUK65548 RDZ65548:REG65548 RNV65548:ROC65548 RXR65548:RXY65548 SHN65548:SHU65548 SRJ65548:SRQ65548 TBF65548:TBM65548 TLB65548:TLI65548 TUX65548:TVE65548 UET65548:UFA65548 UOP65548:UOW65548 UYL65548:UYS65548 VIH65548:VIO65548 VSD65548:VSK65548 WBZ65548:WCG65548 WLV65548:WMC65548 WVR65548:WVY65548 JF131084:JM131084 TB131084:TI131084 ACX131084:ADE131084 AMT131084:ANA131084 AWP131084:AWW131084 BGL131084:BGS131084 BQH131084:BQO131084 CAD131084:CAK131084 CJZ131084:CKG131084 CTV131084:CUC131084 DDR131084:DDY131084 DNN131084:DNU131084 DXJ131084:DXQ131084 EHF131084:EHM131084 ERB131084:ERI131084 FAX131084:FBE131084 FKT131084:FLA131084 FUP131084:FUW131084 GEL131084:GES131084 GOH131084:GOO131084 GYD131084:GYK131084 HHZ131084:HIG131084 HRV131084:HSC131084 IBR131084:IBY131084 ILN131084:ILU131084 IVJ131084:IVQ131084 JFF131084:JFM131084 JPB131084:JPI131084 JYX131084:JZE131084 KIT131084:KJA131084 KSP131084:KSW131084 LCL131084:LCS131084 LMH131084:LMO131084 LWD131084:LWK131084 MFZ131084:MGG131084 MPV131084:MQC131084 MZR131084:MZY131084 NJN131084:NJU131084 NTJ131084:NTQ131084 ODF131084:ODM131084 ONB131084:ONI131084 OWX131084:OXE131084 PGT131084:PHA131084 PQP131084:PQW131084 QAL131084:QAS131084 QKH131084:QKO131084 QUD131084:QUK131084 RDZ131084:REG131084 RNV131084:ROC131084 RXR131084:RXY131084 SHN131084:SHU131084 SRJ131084:SRQ131084 TBF131084:TBM131084 TLB131084:TLI131084 TUX131084:TVE131084 UET131084:UFA131084 UOP131084:UOW131084 UYL131084:UYS131084 VIH131084:VIO131084 VSD131084:VSK131084 WBZ131084:WCG131084 WLV131084:WMC131084 WVR131084:WVY131084 JF196620:JM196620 TB196620:TI196620 ACX196620:ADE196620 AMT196620:ANA196620 AWP196620:AWW196620 BGL196620:BGS196620 BQH196620:BQO196620 CAD196620:CAK196620 CJZ196620:CKG196620 CTV196620:CUC196620 DDR196620:DDY196620 DNN196620:DNU196620 DXJ196620:DXQ196620 EHF196620:EHM196620 ERB196620:ERI196620 FAX196620:FBE196620 FKT196620:FLA196620 FUP196620:FUW196620 GEL196620:GES196620 GOH196620:GOO196620 GYD196620:GYK196620 HHZ196620:HIG196620 HRV196620:HSC196620 IBR196620:IBY196620 ILN196620:ILU196620 IVJ196620:IVQ196620 JFF196620:JFM196620 JPB196620:JPI196620 JYX196620:JZE196620 KIT196620:KJA196620 KSP196620:KSW196620 LCL196620:LCS196620 LMH196620:LMO196620 LWD196620:LWK196620 MFZ196620:MGG196620 MPV196620:MQC196620 MZR196620:MZY196620 NJN196620:NJU196620 NTJ196620:NTQ196620 ODF196620:ODM196620 ONB196620:ONI196620 OWX196620:OXE196620 PGT196620:PHA196620 PQP196620:PQW196620 QAL196620:QAS196620 QKH196620:QKO196620 QUD196620:QUK196620 RDZ196620:REG196620 RNV196620:ROC196620 RXR196620:RXY196620 SHN196620:SHU196620 SRJ196620:SRQ196620 TBF196620:TBM196620 TLB196620:TLI196620 TUX196620:TVE196620 UET196620:UFA196620 UOP196620:UOW196620 UYL196620:UYS196620 VIH196620:VIO196620 VSD196620:VSK196620 WBZ196620:WCG196620 WLV196620:WMC196620 WVR196620:WVY196620 JF262156:JM262156 TB262156:TI262156 ACX262156:ADE262156 AMT262156:ANA262156 AWP262156:AWW262156 BGL262156:BGS262156 BQH262156:BQO262156 CAD262156:CAK262156 CJZ262156:CKG262156 CTV262156:CUC262156 DDR262156:DDY262156 DNN262156:DNU262156 DXJ262156:DXQ262156 EHF262156:EHM262156 ERB262156:ERI262156 FAX262156:FBE262156 FKT262156:FLA262156 FUP262156:FUW262156 GEL262156:GES262156 GOH262156:GOO262156 GYD262156:GYK262156 HHZ262156:HIG262156 HRV262156:HSC262156 IBR262156:IBY262156 ILN262156:ILU262156 IVJ262156:IVQ262156 JFF262156:JFM262156 JPB262156:JPI262156 JYX262156:JZE262156 KIT262156:KJA262156 KSP262156:KSW262156 LCL262156:LCS262156 LMH262156:LMO262156 LWD262156:LWK262156 MFZ262156:MGG262156 MPV262156:MQC262156 MZR262156:MZY262156 NJN262156:NJU262156 NTJ262156:NTQ262156 ODF262156:ODM262156 ONB262156:ONI262156 OWX262156:OXE262156 PGT262156:PHA262156 PQP262156:PQW262156 QAL262156:QAS262156 QKH262156:QKO262156 QUD262156:QUK262156 RDZ262156:REG262156 RNV262156:ROC262156 RXR262156:RXY262156 SHN262156:SHU262156 SRJ262156:SRQ262156 TBF262156:TBM262156 TLB262156:TLI262156 TUX262156:TVE262156 UET262156:UFA262156 UOP262156:UOW262156 UYL262156:UYS262156 VIH262156:VIO262156 VSD262156:VSK262156 WBZ262156:WCG262156 WLV262156:WMC262156 WVR262156:WVY262156 JF327692:JM327692 TB327692:TI327692 ACX327692:ADE327692 AMT327692:ANA327692 AWP327692:AWW327692 BGL327692:BGS327692 BQH327692:BQO327692 CAD327692:CAK327692 CJZ327692:CKG327692 CTV327692:CUC327692 DDR327692:DDY327692 DNN327692:DNU327692 DXJ327692:DXQ327692 EHF327692:EHM327692 ERB327692:ERI327692 FAX327692:FBE327692 FKT327692:FLA327692 FUP327692:FUW327692 GEL327692:GES327692 GOH327692:GOO327692 GYD327692:GYK327692 HHZ327692:HIG327692 HRV327692:HSC327692 IBR327692:IBY327692 ILN327692:ILU327692 IVJ327692:IVQ327692 JFF327692:JFM327692 JPB327692:JPI327692 JYX327692:JZE327692 KIT327692:KJA327692 KSP327692:KSW327692 LCL327692:LCS327692 LMH327692:LMO327692 LWD327692:LWK327692 MFZ327692:MGG327692 MPV327692:MQC327692 MZR327692:MZY327692 NJN327692:NJU327692 NTJ327692:NTQ327692 ODF327692:ODM327692 ONB327692:ONI327692 OWX327692:OXE327692 PGT327692:PHA327692 PQP327692:PQW327692 QAL327692:QAS327692 QKH327692:QKO327692 QUD327692:QUK327692 RDZ327692:REG327692 RNV327692:ROC327692 RXR327692:RXY327692 SHN327692:SHU327692 SRJ327692:SRQ327692 TBF327692:TBM327692 TLB327692:TLI327692 TUX327692:TVE327692 UET327692:UFA327692 UOP327692:UOW327692 UYL327692:UYS327692 VIH327692:VIO327692 VSD327692:VSK327692 WBZ327692:WCG327692 WLV327692:WMC327692 WVR327692:WVY327692 JF393228:JM393228 TB393228:TI393228 ACX393228:ADE393228 AMT393228:ANA393228 AWP393228:AWW393228 BGL393228:BGS393228 BQH393228:BQO393228 CAD393228:CAK393228 CJZ393228:CKG393228 CTV393228:CUC393228 DDR393228:DDY393228 DNN393228:DNU393228 DXJ393228:DXQ393228 EHF393228:EHM393228 ERB393228:ERI393228 FAX393228:FBE393228 FKT393228:FLA393228 FUP393228:FUW393228 GEL393228:GES393228 GOH393228:GOO393228 GYD393228:GYK393228 HHZ393228:HIG393228 HRV393228:HSC393228 IBR393228:IBY393228 ILN393228:ILU393228 IVJ393228:IVQ393228 JFF393228:JFM393228 JPB393228:JPI393228 JYX393228:JZE393228 KIT393228:KJA393228 KSP393228:KSW393228 LCL393228:LCS393228 LMH393228:LMO393228 LWD393228:LWK393228 MFZ393228:MGG393228 MPV393228:MQC393228 MZR393228:MZY393228 NJN393228:NJU393228 NTJ393228:NTQ393228 ODF393228:ODM393228 ONB393228:ONI393228 OWX393228:OXE393228 PGT393228:PHA393228 PQP393228:PQW393228 QAL393228:QAS393228 QKH393228:QKO393228 QUD393228:QUK393228 RDZ393228:REG393228 RNV393228:ROC393228 RXR393228:RXY393228 SHN393228:SHU393228 SRJ393228:SRQ393228 TBF393228:TBM393228 TLB393228:TLI393228 TUX393228:TVE393228 UET393228:UFA393228 UOP393228:UOW393228 UYL393228:UYS393228 VIH393228:VIO393228 VSD393228:VSK393228 WBZ393228:WCG393228 WLV393228:WMC393228 WVR393228:WVY393228 JF458764:JM458764 TB458764:TI458764 ACX458764:ADE458764 AMT458764:ANA458764 AWP458764:AWW458764 BGL458764:BGS458764 BQH458764:BQO458764 CAD458764:CAK458764 CJZ458764:CKG458764 CTV458764:CUC458764 DDR458764:DDY458764 DNN458764:DNU458764 DXJ458764:DXQ458764 EHF458764:EHM458764 ERB458764:ERI458764 FAX458764:FBE458764 FKT458764:FLA458764 FUP458764:FUW458764 GEL458764:GES458764 GOH458764:GOO458764 GYD458764:GYK458764 HHZ458764:HIG458764 HRV458764:HSC458764 IBR458764:IBY458764 ILN458764:ILU458764 IVJ458764:IVQ458764 JFF458764:JFM458764 JPB458764:JPI458764 JYX458764:JZE458764 KIT458764:KJA458764 KSP458764:KSW458764 LCL458764:LCS458764 LMH458764:LMO458764 LWD458764:LWK458764 MFZ458764:MGG458764 MPV458764:MQC458764 MZR458764:MZY458764 NJN458764:NJU458764 NTJ458764:NTQ458764 ODF458764:ODM458764 ONB458764:ONI458764 OWX458764:OXE458764 PGT458764:PHA458764 PQP458764:PQW458764 QAL458764:QAS458764 QKH458764:QKO458764 QUD458764:QUK458764 RDZ458764:REG458764 RNV458764:ROC458764 RXR458764:RXY458764 SHN458764:SHU458764 SRJ458764:SRQ458764 TBF458764:TBM458764 TLB458764:TLI458764 TUX458764:TVE458764 UET458764:UFA458764 UOP458764:UOW458764 UYL458764:UYS458764 VIH458764:VIO458764 VSD458764:VSK458764 WBZ458764:WCG458764 WLV458764:WMC458764 WVR458764:WVY458764 JF524300:JM524300 TB524300:TI524300 ACX524300:ADE524300 AMT524300:ANA524300 AWP524300:AWW524300 BGL524300:BGS524300 BQH524300:BQO524300 CAD524300:CAK524300 CJZ524300:CKG524300 CTV524300:CUC524300 DDR524300:DDY524300 DNN524300:DNU524300 DXJ524300:DXQ524300 EHF524300:EHM524300 ERB524300:ERI524300 FAX524300:FBE524300 FKT524300:FLA524300 FUP524300:FUW524300 GEL524300:GES524300 GOH524300:GOO524300 GYD524300:GYK524300 HHZ524300:HIG524300 HRV524300:HSC524300 IBR524300:IBY524300 ILN524300:ILU524300 IVJ524300:IVQ524300 JFF524300:JFM524300 JPB524300:JPI524300 JYX524300:JZE524300 KIT524300:KJA524300 KSP524300:KSW524300 LCL524300:LCS524300 LMH524300:LMO524300 LWD524300:LWK524300 MFZ524300:MGG524300 MPV524300:MQC524300 MZR524300:MZY524300 NJN524300:NJU524300 NTJ524300:NTQ524300 ODF524300:ODM524300 ONB524300:ONI524300 OWX524300:OXE524300 PGT524300:PHA524300 PQP524300:PQW524300 QAL524300:QAS524300 QKH524300:QKO524300 QUD524300:QUK524300 RDZ524300:REG524300 RNV524300:ROC524300 RXR524300:RXY524300 SHN524300:SHU524300 SRJ524300:SRQ524300 TBF524300:TBM524300 TLB524300:TLI524300 TUX524300:TVE524300 UET524300:UFA524300 UOP524300:UOW524300 UYL524300:UYS524300 VIH524300:VIO524300 VSD524300:VSK524300 WBZ524300:WCG524300 WLV524300:WMC524300 WVR524300:WVY524300 JF589836:JM589836 TB589836:TI589836 ACX589836:ADE589836 AMT589836:ANA589836 AWP589836:AWW589836 BGL589836:BGS589836 BQH589836:BQO589836 CAD589836:CAK589836 CJZ589836:CKG589836 CTV589836:CUC589836 DDR589836:DDY589836 DNN589836:DNU589836 DXJ589836:DXQ589836 EHF589836:EHM589836 ERB589836:ERI589836 FAX589836:FBE589836 FKT589836:FLA589836 FUP589836:FUW589836 GEL589836:GES589836 GOH589836:GOO589836 GYD589836:GYK589836 HHZ589836:HIG589836 HRV589836:HSC589836 IBR589836:IBY589836 ILN589836:ILU589836 IVJ589836:IVQ589836 JFF589836:JFM589836 JPB589836:JPI589836 JYX589836:JZE589836 KIT589836:KJA589836 KSP589836:KSW589836 LCL589836:LCS589836 LMH589836:LMO589836 LWD589836:LWK589836 MFZ589836:MGG589836 MPV589836:MQC589836 MZR589836:MZY589836 NJN589836:NJU589836 NTJ589836:NTQ589836 ODF589836:ODM589836 ONB589836:ONI589836 OWX589836:OXE589836 PGT589836:PHA589836 PQP589836:PQW589836 QAL589836:QAS589836 QKH589836:QKO589836 QUD589836:QUK589836 RDZ589836:REG589836 RNV589836:ROC589836 RXR589836:RXY589836 SHN589836:SHU589836 SRJ589836:SRQ589836 TBF589836:TBM589836 TLB589836:TLI589836 TUX589836:TVE589836 UET589836:UFA589836 UOP589836:UOW589836 UYL589836:UYS589836 VIH589836:VIO589836 VSD589836:VSK589836 WBZ589836:WCG589836 WLV589836:WMC589836 WVR589836:WVY589836 JF655372:JM655372 TB655372:TI655372 ACX655372:ADE655372 AMT655372:ANA655372 AWP655372:AWW655372 BGL655372:BGS655372 BQH655372:BQO655372 CAD655372:CAK655372 CJZ655372:CKG655372 CTV655372:CUC655372 DDR655372:DDY655372 DNN655372:DNU655372 DXJ655372:DXQ655372 EHF655372:EHM655372 ERB655372:ERI655372 FAX655372:FBE655372 FKT655372:FLA655372 FUP655372:FUW655372 GEL655372:GES655372 GOH655372:GOO655372 GYD655372:GYK655372 HHZ655372:HIG655372 HRV655372:HSC655372 IBR655372:IBY655372 ILN655372:ILU655372 IVJ655372:IVQ655372 JFF655372:JFM655372 JPB655372:JPI655372 JYX655372:JZE655372 KIT655372:KJA655372 KSP655372:KSW655372 LCL655372:LCS655372 LMH655372:LMO655372 LWD655372:LWK655372 MFZ655372:MGG655372 MPV655372:MQC655372 MZR655372:MZY655372 NJN655372:NJU655372 NTJ655372:NTQ655372 ODF655372:ODM655372 ONB655372:ONI655372 OWX655372:OXE655372 PGT655372:PHA655372 PQP655372:PQW655372 QAL655372:QAS655372 QKH655372:QKO655372 QUD655372:QUK655372 RDZ655372:REG655372 RNV655372:ROC655372 RXR655372:RXY655372 SHN655372:SHU655372 SRJ655372:SRQ655372 TBF655372:TBM655372 TLB655372:TLI655372 TUX655372:TVE655372 UET655372:UFA655372 UOP655372:UOW655372 UYL655372:UYS655372 VIH655372:VIO655372 VSD655372:VSK655372 WBZ655372:WCG655372 WLV655372:WMC655372 WVR655372:WVY655372 JF720908:JM720908 TB720908:TI720908 ACX720908:ADE720908 AMT720908:ANA720908 AWP720908:AWW720908 BGL720908:BGS720908 BQH720908:BQO720908 CAD720908:CAK720908 CJZ720908:CKG720908 CTV720908:CUC720908 DDR720908:DDY720908 DNN720908:DNU720908 DXJ720908:DXQ720908 EHF720908:EHM720908 ERB720908:ERI720908 FAX720908:FBE720908 FKT720908:FLA720908 FUP720908:FUW720908 GEL720908:GES720908 GOH720908:GOO720908 GYD720908:GYK720908 HHZ720908:HIG720908 HRV720908:HSC720908 IBR720908:IBY720908 ILN720908:ILU720908 IVJ720908:IVQ720908 JFF720908:JFM720908 JPB720908:JPI720908 JYX720908:JZE720908 KIT720908:KJA720908 KSP720908:KSW720908 LCL720908:LCS720908 LMH720908:LMO720908 LWD720908:LWK720908 MFZ720908:MGG720908 MPV720908:MQC720908 MZR720908:MZY720908 NJN720908:NJU720908 NTJ720908:NTQ720908 ODF720908:ODM720908 ONB720908:ONI720908 OWX720908:OXE720908 PGT720908:PHA720908 PQP720908:PQW720908 QAL720908:QAS720908 QKH720908:QKO720908 QUD720908:QUK720908 RDZ720908:REG720908 RNV720908:ROC720908 RXR720908:RXY720908 SHN720908:SHU720908 SRJ720908:SRQ720908 TBF720908:TBM720908 TLB720908:TLI720908 TUX720908:TVE720908 UET720908:UFA720908 UOP720908:UOW720908 UYL720908:UYS720908 VIH720908:VIO720908 VSD720908:VSK720908 WBZ720908:WCG720908 WLV720908:WMC720908 WVR720908:WVY720908 JF786444:JM786444 TB786444:TI786444 ACX786444:ADE786444 AMT786444:ANA786444 AWP786444:AWW786444 BGL786444:BGS786444 BQH786444:BQO786444 CAD786444:CAK786444 CJZ786444:CKG786444 CTV786444:CUC786444 DDR786444:DDY786444 DNN786444:DNU786444 DXJ786444:DXQ786444 EHF786444:EHM786444 ERB786444:ERI786444 FAX786444:FBE786444 FKT786444:FLA786444 FUP786444:FUW786444 GEL786444:GES786444 GOH786444:GOO786444 GYD786444:GYK786444 HHZ786444:HIG786444 HRV786444:HSC786444 IBR786444:IBY786444 ILN786444:ILU786444 IVJ786444:IVQ786444 JFF786444:JFM786444 JPB786444:JPI786444 JYX786444:JZE786444 KIT786444:KJA786444 KSP786444:KSW786444 LCL786444:LCS786444 LMH786444:LMO786444 LWD786444:LWK786444 MFZ786444:MGG786444 MPV786444:MQC786444 MZR786444:MZY786444 NJN786444:NJU786444 NTJ786444:NTQ786444 ODF786444:ODM786444 ONB786444:ONI786444 OWX786444:OXE786444 PGT786444:PHA786444 PQP786444:PQW786444 QAL786444:QAS786444 QKH786444:QKO786444 QUD786444:QUK786444 RDZ786444:REG786444 RNV786444:ROC786444 RXR786444:RXY786444 SHN786444:SHU786444 SRJ786444:SRQ786444 TBF786444:TBM786444 TLB786444:TLI786444 TUX786444:TVE786444 UET786444:UFA786444 UOP786444:UOW786444 UYL786444:UYS786444 VIH786444:VIO786444 VSD786444:VSK786444 WBZ786444:WCG786444 WLV786444:WMC786444 WVR786444:WVY786444 JF851980:JM851980 TB851980:TI851980 ACX851980:ADE851980 AMT851980:ANA851980 AWP851980:AWW851980 BGL851980:BGS851980 BQH851980:BQO851980 CAD851980:CAK851980 CJZ851980:CKG851980 CTV851980:CUC851980 DDR851980:DDY851980 DNN851980:DNU851980 DXJ851980:DXQ851980 EHF851980:EHM851980 ERB851980:ERI851980 FAX851980:FBE851980 FKT851980:FLA851980 FUP851980:FUW851980 GEL851980:GES851980 GOH851980:GOO851980 GYD851980:GYK851980 HHZ851980:HIG851980 HRV851980:HSC851980 IBR851980:IBY851980 ILN851980:ILU851980 IVJ851980:IVQ851980 JFF851980:JFM851980 JPB851980:JPI851980 JYX851980:JZE851980 KIT851980:KJA851980 KSP851980:KSW851980 LCL851980:LCS851980 LMH851980:LMO851980 LWD851980:LWK851980 MFZ851980:MGG851980 MPV851980:MQC851980 MZR851980:MZY851980 NJN851980:NJU851980 NTJ851980:NTQ851980 ODF851980:ODM851980 ONB851980:ONI851980 OWX851980:OXE851980 PGT851980:PHA851980 PQP851980:PQW851980 QAL851980:QAS851980 QKH851980:QKO851980 QUD851980:QUK851980 RDZ851980:REG851980 RNV851980:ROC851980 RXR851980:RXY851980 SHN851980:SHU851980 SRJ851980:SRQ851980 TBF851980:TBM851980 TLB851980:TLI851980 TUX851980:TVE851980 UET851980:UFA851980 UOP851980:UOW851980 UYL851980:UYS851980 VIH851980:VIO851980 VSD851980:VSK851980 WBZ851980:WCG851980 WLV851980:WMC851980 WVR851980:WVY851980 JF917516:JM917516 TB917516:TI917516 ACX917516:ADE917516 AMT917516:ANA917516 AWP917516:AWW917516 BGL917516:BGS917516 BQH917516:BQO917516 CAD917516:CAK917516 CJZ917516:CKG917516 CTV917516:CUC917516 DDR917516:DDY917516 DNN917516:DNU917516 DXJ917516:DXQ917516 EHF917516:EHM917516 ERB917516:ERI917516 FAX917516:FBE917516 FKT917516:FLA917516 FUP917516:FUW917516 GEL917516:GES917516 GOH917516:GOO917516 GYD917516:GYK917516 HHZ917516:HIG917516 HRV917516:HSC917516 IBR917516:IBY917516 ILN917516:ILU917516 IVJ917516:IVQ917516 JFF917516:JFM917516 JPB917516:JPI917516 JYX917516:JZE917516 KIT917516:KJA917516 KSP917516:KSW917516 LCL917516:LCS917516 LMH917516:LMO917516 LWD917516:LWK917516 MFZ917516:MGG917516 MPV917516:MQC917516 MZR917516:MZY917516 NJN917516:NJU917516 NTJ917516:NTQ917516 ODF917516:ODM917516 ONB917516:ONI917516 OWX917516:OXE917516 PGT917516:PHA917516 PQP917516:PQW917516 QAL917516:QAS917516 QKH917516:QKO917516 QUD917516:QUK917516 RDZ917516:REG917516 RNV917516:ROC917516 RXR917516:RXY917516 SHN917516:SHU917516 SRJ917516:SRQ917516 TBF917516:TBM917516 TLB917516:TLI917516 TUX917516:TVE917516 UET917516:UFA917516 UOP917516:UOW917516 UYL917516:UYS917516 VIH917516:VIO917516 VSD917516:VSK917516 WBZ917516:WCG917516 WLV917516:WMC917516 WVR917516:WVY917516 WVR983052:WVY983052 JF983052:JM983052 TB983052:TI983052 ACX983052:ADE983052 AMT983052:ANA983052 AWP983052:AWW983052 BGL983052:BGS983052 BQH983052:BQO983052 CAD983052:CAK983052 CJZ983052:CKG983052 CTV983052:CUC983052 DDR983052:DDY983052 DNN983052:DNU983052 DXJ983052:DXQ983052 EHF983052:EHM983052 ERB983052:ERI983052 FAX983052:FBE983052 FKT983052:FLA983052 FUP983052:FUW983052 GEL983052:GES983052 GOH983052:GOO983052 GYD983052:GYK983052 HHZ983052:HIG983052 HRV983052:HSC983052 IBR983052:IBY983052 ILN983052:ILU983052 IVJ983052:IVQ983052 JFF983052:JFM983052 JPB983052:JPI983052 JYX983052:JZE983052 KIT983052:KJA983052 KSP983052:KSW983052 LCL983052:LCS983052 LMH983052:LMO983052 LWD983052:LWK983052 MFZ983052:MGG983052 MPV983052:MQC983052 MZR983052:MZY983052 NJN983052:NJU983052 NTJ983052:NTQ983052 ODF983052:ODM983052 ONB983052:ONI983052 OWX983052:OXE983052 PGT983052:PHA983052 PQP983052:PQW983052 QAL983052:QAS983052 QKH983052:QKO983052 QUD983052:QUK983052 RDZ983052:REG983052 RNV983052:ROC983052 RXR983052:RXY983052 SHN983052:SHU983052 SRJ983052:SRQ983052 TBF983052:TBM983052 TLB983052:TLI983052 TUX983052:TVE983052 UET983052:UFA983052 UOP983052:UOW983052 UYL983052:UYS983052 VIH983052:VIO983052 VSD983052:VSK983052 WBZ983052:WCG983052 WLV983052:WMC983052 G983052:Q983052 G917516:Q917516 G851980:Q851980 G786444:Q786444 G720908:Q720908 G655372:Q655372 G589836:Q589836 G524300:Q524300 G458764:Q458764 G393228:Q393228 G327692:Q327692 G262156:Q262156 G196620:Q196620 G131084:Q131084 G65548:Q65548 G12:Q12 G983130:Q983130 G917594:Q917594 G852058:Q852058 G786522:Q786522 G720986:Q720986 G655450:Q655450 G589914:Q589914 G524378:Q524378 G458842:Q458842 G393306:Q393306 G327770:Q327770 G262234:Q262234 G196698:Q196698 G131162:Q131162 G65626:Q65626 G90:Q90 G983346:Q983346 G917810:Q917810 G852274:Q852274 G786738:Q786738 G721202:Q721202 G655666:Q655666 G590130:Q590130 G524594:Q524594 G459058:Q459058 G393522:Q393522 G327986:Q327986 G262450:Q262450 G196914:Q196914 G131378:Q131378 G65842:Q65842 G306:Q306" xr:uid="{00000000-0002-0000-03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39997558519241921"/>
  </sheetPr>
  <dimension ref="A1:AM511"/>
  <sheetViews>
    <sheetView view="pageBreakPreview" topLeftCell="A327" zoomScale="85" zoomScaleNormal="100" zoomScaleSheetLayoutView="85" workbookViewId="0">
      <selection activeCell="K22" sqref="K22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4" width="14.332031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3203125" style="1278" customWidth="1"/>
    <col min="262" max="262" width="15.33203125" style="1278" customWidth="1"/>
    <col min="263" max="270" width="14.332031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3203125" style="1278" customWidth="1"/>
    <col min="518" max="518" width="15.33203125" style="1278" customWidth="1"/>
    <col min="519" max="526" width="14.332031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3203125" style="1278" customWidth="1"/>
    <col min="774" max="774" width="15.33203125" style="1278" customWidth="1"/>
    <col min="775" max="782" width="14.332031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3203125" style="1278" customWidth="1"/>
    <col min="1030" max="1030" width="15.33203125" style="1278" customWidth="1"/>
    <col min="1031" max="1038" width="14.332031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3203125" style="1278" customWidth="1"/>
    <col min="1286" max="1286" width="15.33203125" style="1278" customWidth="1"/>
    <col min="1287" max="1294" width="14.332031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3203125" style="1278" customWidth="1"/>
    <col min="1542" max="1542" width="15.33203125" style="1278" customWidth="1"/>
    <col min="1543" max="1550" width="14.332031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3203125" style="1278" customWidth="1"/>
    <col min="1798" max="1798" width="15.33203125" style="1278" customWidth="1"/>
    <col min="1799" max="1806" width="14.332031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3203125" style="1278" customWidth="1"/>
    <col min="2054" max="2054" width="15.33203125" style="1278" customWidth="1"/>
    <col min="2055" max="2062" width="14.332031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3203125" style="1278" customWidth="1"/>
    <col min="2310" max="2310" width="15.33203125" style="1278" customWidth="1"/>
    <col min="2311" max="2318" width="14.332031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3203125" style="1278" customWidth="1"/>
    <col min="2566" max="2566" width="15.33203125" style="1278" customWidth="1"/>
    <col min="2567" max="2574" width="14.332031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3203125" style="1278" customWidth="1"/>
    <col min="2822" max="2822" width="15.33203125" style="1278" customWidth="1"/>
    <col min="2823" max="2830" width="14.332031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3203125" style="1278" customWidth="1"/>
    <col min="3078" max="3078" width="15.33203125" style="1278" customWidth="1"/>
    <col min="3079" max="3086" width="14.332031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3203125" style="1278" customWidth="1"/>
    <col min="3334" max="3334" width="15.33203125" style="1278" customWidth="1"/>
    <col min="3335" max="3342" width="14.332031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3203125" style="1278" customWidth="1"/>
    <col min="3590" max="3590" width="15.33203125" style="1278" customWidth="1"/>
    <col min="3591" max="3598" width="14.332031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3203125" style="1278" customWidth="1"/>
    <col min="3846" max="3846" width="15.33203125" style="1278" customWidth="1"/>
    <col min="3847" max="3854" width="14.332031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3203125" style="1278" customWidth="1"/>
    <col min="4102" max="4102" width="15.33203125" style="1278" customWidth="1"/>
    <col min="4103" max="4110" width="14.332031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3203125" style="1278" customWidth="1"/>
    <col min="4358" max="4358" width="15.33203125" style="1278" customWidth="1"/>
    <col min="4359" max="4366" width="14.332031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3203125" style="1278" customWidth="1"/>
    <col min="4614" max="4614" width="15.33203125" style="1278" customWidth="1"/>
    <col min="4615" max="4622" width="14.332031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3203125" style="1278" customWidth="1"/>
    <col min="4870" max="4870" width="15.33203125" style="1278" customWidth="1"/>
    <col min="4871" max="4878" width="14.332031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3203125" style="1278" customWidth="1"/>
    <col min="5126" max="5126" width="15.33203125" style="1278" customWidth="1"/>
    <col min="5127" max="5134" width="14.332031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3203125" style="1278" customWidth="1"/>
    <col min="5382" max="5382" width="15.33203125" style="1278" customWidth="1"/>
    <col min="5383" max="5390" width="14.332031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3203125" style="1278" customWidth="1"/>
    <col min="5638" max="5638" width="15.33203125" style="1278" customWidth="1"/>
    <col min="5639" max="5646" width="14.332031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3203125" style="1278" customWidth="1"/>
    <col min="5894" max="5894" width="15.33203125" style="1278" customWidth="1"/>
    <col min="5895" max="5902" width="14.332031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3203125" style="1278" customWidth="1"/>
    <col min="6150" max="6150" width="15.33203125" style="1278" customWidth="1"/>
    <col min="6151" max="6158" width="14.332031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3203125" style="1278" customWidth="1"/>
    <col min="6406" max="6406" width="15.33203125" style="1278" customWidth="1"/>
    <col min="6407" max="6414" width="14.332031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3203125" style="1278" customWidth="1"/>
    <col min="6662" max="6662" width="15.33203125" style="1278" customWidth="1"/>
    <col min="6663" max="6670" width="14.332031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3203125" style="1278" customWidth="1"/>
    <col min="6918" max="6918" width="15.33203125" style="1278" customWidth="1"/>
    <col min="6919" max="6926" width="14.332031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3203125" style="1278" customWidth="1"/>
    <col min="7174" max="7174" width="15.33203125" style="1278" customWidth="1"/>
    <col min="7175" max="7182" width="14.332031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3203125" style="1278" customWidth="1"/>
    <col min="7430" max="7430" width="15.33203125" style="1278" customWidth="1"/>
    <col min="7431" max="7438" width="14.332031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3203125" style="1278" customWidth="1"/>
    <col min="7686" max="7686" width="15.33203125" style="1278" customWidth="1"/>
    <col min="7687" max="7694" width="14.332031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3203125" style="1278" customWidth="1"/>
    <col min="7942" max="7942" width="15.33203125" style="1278" customWidth="1"/>
    <col min="7943" max="7950" width="14.332031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3203125" style="1278" customWidth="1"/>
    <col min="8198" max="8198" width="15.33203125" style="1278" customWidth="1"/>
    <col min="8199" max="8206" width="14.332031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3203125" style="1278" customWidth="1"/>
    <col min="8454" max="8454" width="15.33203125" style="1278" customWidth="1"/>
    <col min="8455" max="8462" width="14.332031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3203125" style="1278" customWidth="1"/>
    <col min="8710" max="8710" width="15.33203125" style="1278" customWidth="1"/>
    <col min="8711" max="8718" width="14.332031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3203125" style="1278" customWidth="1"/>
    <col min="8966" max="8966" width="15.33203125" style="1278" customWidth="1"/>
    <col min="8967" max="8974" width="14.332031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3203125" style="1278" customWidth="1"/>
    <col min="9222" max="9222" width="15.33203125" style="1278" customWidth="1"/>
    <col min="9223" max="9230" width="14.332031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3203125" style="1278" customWidth="1"/>
    <col min="9478" max="9478" width="15.33203125" style="1278" customWidth="1"/>
    <col min="9479" max="9486" width="14.332031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3203125" style="1278" customWidth="1"/>
    <col min="9734" max="9734" width="15.33203125" style="1278" customWidth="1"/>
    <col min="9735" max="9742" width="14.332031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3203125" style="1278" customWidth="1"/>
    <col min="9990" max="9990" width="15.33203125" style="1278" customWidth="1"/>
    <col min="9991" max="9998" width="14.332031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3203125" style="1278" customWidth="1"/>
    <col min="10246" max="10246" width="15.33203125" style="1278" customWidth="1"/>
    <col min="10247" max="10254" width="14.332031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3203125" style="1278" customWidth="1"/>
    <col min="10502" max="10502" width="15.33203125" style="1278" customWidth="1"/>
    <col min="10503" max="10510" width="14.332031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3203125" style="1278" customWidth="1"/>
    <col min="10758" max="10758" width="15.33203125" style="1278" customWidth="1"/>
    <col min="10759" max="10766" width="14.332031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3203125" style="1278" customWidth="1"/>
    <col min="11014" max="11014" width="15.33203125" style="1278" customWidth="1"/>
    <col min="11015" max="11022" width="14.332031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3203125" style="1278" customWidth="1"/>
    <col min="11270" max="11270" width="15.33203125" style="1278" customWidth="1"/>
    <col min="11271" max="11278" width="14.332031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3203125" style="1278" customWidth="1"/>
    <col min="11526" max="11526" width="15.33203125" style="1278" customWidth="1"/>
    <col min="11527" max="11534" width="14.332031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3203125" style="1278" customWidth="1"/>
    <col min="11782" max="11782" width="15.33203125" style="1278" customWidth="1"/>
    <col min="11783" max="11790" width="14.332031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3203125" style="1278" customWidth="1"/>
    <col min="12038" max="12038" width="15.33203125" style="1278" customWidth="1"/>
    <col min="12039" max="12046" width="14.332031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3203125" style="1278" customWidth="1"/>
    <col min="12294" max="12294" width="15.33203125" style="1278" customWidth="1"/>
    <col min="12295" max="12302" width="14.332031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3203125" style="1278" customWidth="1"/>
    <col min="12550" max="12550" width="15.33203125" style="1278" customWidth="1"/>
    <col min="12551" max="12558" width="14.332031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3203125" style="1278" customWidth="1"/>
    <col min="12806" max="12806" width="15.33203125" style="1278" customWidth="1"/>
    <col min="12807" max="12814" width="14.332031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3203125" style="1278" customWidth="1"/>
    <col min="13062" max="13062" width="15.33203125" style="1278" customWidth="1"/>
    <col min="13063" max="13070" width="14.332031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3203125" style="1278" customWidth="1"/>
    <col min="13318" max="13318" width="15.33203125" style="1278" customWidth="1"/>
    <col min="13319" max="13326" width="14.332031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3203125" style="1278" customWidth="1"/>
    <col min="13574" max="13574" width="15.33203125" style="1278" customWidth="1"/>
    <col min="13575" max="13582" width="14.332031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3203125" style="1278" customWidth="1"/>
    <col min="13830" max="13830" width="15.33203125" style="1278" customWidth="1"/>
    <col min="13831" max="13838" width="14.332031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3203125" style="1278" customWidth="1"/>
    <col min="14086" max="14086" width="15.33203125" style="1278" customWidth="1"/>
    <col min="14087" max="14094" width="14.332031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3203125" style="1278" customWidth="1"/>
    <col min="14342" max="14342" width="15.33203125" style="1278" customWidth="1"/>
    <col min="14343" max="14350" width="14.332031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3203125" style="1278" customWidth="1"/>
    <col min="14598" max="14598" width="15.33203125" style="1278" customWidth="1"/>
    <col min="14599" max="14606" width="14.332031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3203125" style="1278" customWidth="1"/>
    <col min="14854" max="14854" width="15.33203125" style="1278" customWidth="1"/>
    <col min="14855" max="14862" width="14.332031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3203125" style="1278" customWidth="1"/>
    <col min="15110" max="15110" width="15.33203125" style="1278" customWidth="1"/>
    <col min="15111" max="15118" width="14.332031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3203125" style="1278" customWidth="1"/>
    <col min="15366" max="15366" width="15.33203125" style="1278" customWidth="1"/>
    <col min="15367" max="15374" width="14.332031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3203125" style="1278" customWidth="1"/>
    <col min="15622" max="15622" width="15.33203125" style="1278" customWidth="1"/>
    <col min="15623" max="15630" width="14.332031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3203125" style="1278" customWidth="1"/>
    <col min="15878" max="15878" width="15.33203125" style="1278" customWidth="1"/>
    <col min="15879" max="15886" width="14.332031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3203125" style="1278" customWidth="1"/>
    <col min="16134" max="16134" width="15.33203125" style="1278" customWidth="1"/>
    <col min="16135" max="16142" width="14.33203125" style="1278" customWidth="1"/>
    <col min="16143" max="16384" width="9" style="1278"/>
  </cols>
  <sheetData>
    <row r="1" spans="1:14" s="839" customFormat="1" ht="14">
      <c r="A1" s="833"/>
      <c r="B1" s="833"/>
      <c r="C1" s="834"/>
      <c r="D1" s="834"/>
      <c r="E1" s="835" t="s">
        <v>2501</v>
      </c>
      <c r="F1" s="2729" t="s">
        <v>2958</v>
      </c>
      <c r="G1" s="2729"/>
      <c r="H1" s="2729"/>
      <c r="I1" s="2729"/>
      <c r="J1" s="2729"/>
      <c r="K1" s="2729"/>
      <c r="L1" s="836"/>
      <c r="M1" s="837">
        <v>20180319</v>
      </c>
      <c r="N1" s="838" t="s">
        <v>2502</v>
      </c>
    </row>
    <row r="2" spans="1:14" s="839" customFormat="1" ht="13.5" customHeight="1">
      <c r="A2" s="833"/>
      <c r="B2" s="833"/>
      <c r="C2" s="2730" t="s">
        <v>2503</v>
      </c>
      <c r="D2" s="2730"/>
      <c r="E2" s="2730"/>
      <c r="F2" s="833" t="s">
        <v>2504</v>
      </c>
      <c r="G2" s="840">
        <v>0.74370000000000003</v>
      </c>
      <c r="H2" s="841"/>
      <c r="I2" s="2660"/>
      <c r="J2" s="836" t="s">
        <v>3379</v>
      </c>
      <c r="K2" s="836" t="s">
        <v>3380</v>
      </c>
      <c r="L2" s="841"/>
      <c r="M2" s="833"/>
      <c r="N2" s="841" t="s">
        <v>246</v>
      </c>
    </row>
    <row r="3" spans="1:14" s="839" customFormat="1" ht="14">
      <c r="A3" s="842"/>
      <c r="B3" s="843"/>
      <c r="C3" s="844"/>
      <c r="D3" s="845"/>
      <c r="E3" s="846"/>
      <c r="F3" s="847" t="s">
        <v>2505</v>
      </c>
      <c r="G3" s="2602" t="str">
        <f>G86</f>
        <v>工事1</v>
      </c>
      <c r="H3" s="848" t="str">
        <f t="shared" ref="H3:N3" si="0">H86</f>
        <v>工事2</v>
      </c>
      <c r="I3" s="848" t="str">
        <f t="shared" si="0"/>
        <v>工事3</v>
      </c>
      <c r="J3" s="2602" t="str">
        <f t="shared" si="0"/>
        <v>工事4</v>
      </c>
      <c r="K3" s="2602" t="str">
        <f t="shared" si="0"/>
        <v>工事5</v>
      </c>
      <c r="L3" s="848">
        <f t="shared" si="0"/>
        <v>0</v>
      </c>
      <c r="M3" s="848">
        <f t="shared" si="0"/>
        <v>0</v>
      </c>
      <c r="N3" s="848">
        <f t="shared" si="0"/>
        <v>0</v>
      </c>
    </row>
    <row r="4" spans="1:14" s="839" customFormat="1" ht="13.5" customHeight="1">
      <c r="A4" s="842"/>
      <c r="B4" s="2731" t="s">
        <v>2506</v>
      </c>
      <c r="C4" s="2731"/>
      <c r="D4" s="2731"/>
      <c r="E4" s="846"/>
      <c r="F4" s="849">
        <f>SUM(G4:N4)</f>
        <v>6625980</v>
      </c>
      <c r="G4" s="850">
        <f>G80</f>
        <v>1512430</v>
      </c>
      <c r="H4" s="851">
        <f t="shared" ref="H4:N5" si="1">H80</f>
        <v>0</v>
      </c>
      <c r="I4" s="851">
        <f t="shared" si="1"/>
        <v>0</v>
      </c>
      <c r="J4" s="851">
        <f t="shared" si="1"/>
        <v>5039181</v>
      </c>
      <c r="K4" s="851">
        <f t="shared" si="1"/>
        <v>74369</v>
      </c>
      <c r="L4" s="851">
        <f t="shared" si="1"/>
        <v>0</v>
      </c>
      <c r="M4" s="849">
        <f t="shared" si="1"/>
        <v>0</v>
      </c>
      <c r="N4" s="852">
        <f t="shared" si="1"/>
        <v>0</v>
      </c>
    </row>
    <row r="5" spans="1:14" s="839" customFormat="1" ht="13.5" customHeight="1">
      <c r="A5" s="853"/>
      <c r="B5" s="2732" t="s">
        <v>2507</v>
      </c>
      <c r="C5" s="2732"/>
      <c r="D5" s="2732"/>
      <c r="E5" s="854"/>
      <c r="F5" s="855">
        <f>SUM(G5:N5)</f>
        <v>1303020</v>
      </c>
      <c r="G5" s="856">
        <f>G81</f>
        <v>214570</v>
      </c>
      <c r="H5" s="857">
        <f t="shared" si="1"/>
        <v>0</v>
      </c>
      <c r="I5" s="857">
        <f t="shared" si="1"/>
        <v>0</v>
      </c>
      <c r="J5" s="857">
        <f t="shared" si="1"/>
        <v>1094819</v>
      </c>
      <c r="K5" s="857">
        <f t="shared" si="1"/>
        <v>-6369</v>
      </c>
      <c r="L5" s="857">
        <f t="shared" si="1"/>
        <v>0</v>
      </c>
      <c r="M5" s="855">
        <f t="shared" si="1"/>
        <v>0</v>
      </c>
      <c r="N5" s="858">
        <f t="shared" si="1"/>
        <v>0</v>
      </c>
    </row>
    <row r="6" spans="1:14" s="839" customFormat="1" ht="13.5" customHeight="1">
      <c r="A6" s="859"/>
      <c r="B6" s="2733" t="s">
        <v>234</v>
      </c>
      <c r="C6" s="2733"/>
      <c r="D6" s="2733"/>
      <c r="E6" s="860"/>
      <c r="F6" s="861">
        <f>SUM(G6:N6)</f>
        <v>7929000</v>
      </c>
      <c r="G6" s="862">
        <f t="shared" ref="G6:N6" si="2">G79</f>
        <v>1727000</v>
      </c>
      <c r="H6" s="863">
        <f t="shared" si="2"/>
        <v>0</v>
      </c>
      <c r="I6" s="863">
        <f t="shared" si="2"/>
        <v>0</v>
      </c>
      <c r="J6" s="863">
        <f t="shared" si="2"/>
        <v>6134000</v>
      </c>
      <c r="K6" s="863">
        <f t="shared" si="2"/>
        <v>68000</v>
      </c>
      <c r="L6" s="863">
        <f t="shared" si="2"/>
        <v>0</v>
      </c>
      <c r="M6" s="861">
        <f t="shared" si="2"/>
        <v>0</v>
      </c>
      <c r="N6" s="864">
        <f t="shared" si="2"/>
        <v>0</v>
      </c>
    </row>
    <row r="7" spans="1:14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41"/>
      <c r="N7" s="841" t="s">
        <v>2509</v>
      </c>
    </row>
    <row r="8" spans="1:14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N8" si="3">H84</f>
        <v>11</v>
      </c>
      <c r="I8" s="876">
        <f t="shared" si="3"/>
        <v>16.600000000000001</v>
      </c>
      <c r="J8" s="876">
        <f t="shared" si="3"/>
        <v>16.600000000000001</v>
      </c>
      <c r="K8" s="876">
        <f t="shared" si="3"/>
        <v>16.600000000000001</v>
      </c>
      <c r="L8" s="876">
        <f t="shared" si="3"/>
        <v>0</v>
      </c>
      <c r="M8" s="876">
        <f t="shared" si="3"/>
        <v>0</v>
      </c>
      <c r="N8" s="877">
        <f t="shared" si="3"/>
        <v>0</v>
      </c>
    </row>
    <row r="9" spans="1:14" s="878" customFormat="1" ht="13.5" customHeight="1">
      <c r="A9" s="1285"/>
      <c r="B9" s="1286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N9" si="4">IF(H85="","",H85)</f>
        <v>改修</v>
      </c>
      <c r="I9" s="885" t="str">
        <f t="shared" si="4"/>
        <v>改修</v>
      </c>
      <c r="J9" s="885" t="str">
        <f t="shared" si="4"/>
        <v>改修</v>
      </c>
      <c r="K9" s="885" t="str">
        <f t="shared" si="4"/>
        <v>改修</v>
      </c>
      <c r="L9" s="885" t="str">
        <f t="shared" si="4"/>
        <v/>
      </c>
      <c r="M9" s="885" t="str">
        <f t="shared" si="4"/>
        <v/>
      </c>
      <c r="N9" s="886" t="str">
        <f t="shared" si="4"/>
        <v/>
      </c>
    </row>
    <row r="10" spans="1:14" s="889" customFormat="1" ht="13.5" customHeight="1">
      <c r="A10" s="2734" t="s">
        <v>2513</v>
      </c>
      <c r="B10" s="2735"/>
      <c r="C10" s="2735"/>
      <c r="D10" s="2735"/>
      <c r="E10" s="2735"/>
      <c r="F10" s="2736"/>
      <c r="G10" s="887" t="str">
        <f>G88</f>
        <v>積上げ・率処理併用</v>
      </c>
      <c r="H10" s="887" t="str">
        <f t="shared" ref="H10:N12" si="5">H88</f>
        <v>積上げ・率処理併用</v>
      </c>
      <c r="I10" s="887" t="str">
        <f t="shared" si="5"/>
        <v>積上げ・率処理併用</v>
      </c>
      <c r="J10" s="887" t="str">
        <f t="shared" si="5"/>
        <v>積上げ・率処理併用</v>
      </c>
      <c r="K10" s="887" t="str">
        <f t="shared" si="5"/>
        <v>積上げ・率処理併用</v>
      </c>
      <c r="L10" s="887" t="str">
        <f t="shared" si="5"/>
        <v>積上げ・率処理併用</v>
      </c>
      <c r="M10" s="887" t="str">
        <f t="shared" si="5"/>
        <v>積上げ・率処理併用</v>
      </c>
      <c r="N10" s="888" t="str">
        <f t="shared" si="5"/>
        <v>積上げ・率処理併用</v>
      </c>
    </row>
    <row r="11" spans="1:14" s="889" customFormat="1" ht="30" customHeight="1">
      <c r="A11" s="2747" t="s">
        <v>2514</v>
      </c>
      <c r="B11" s="2748"/>
      <c r="C11" s="2748"/>
      <c r="D11" s="2748"/>
      <c r="E11" s="2748"/>
      <c r="F11" s="2749"/>
      <c r="G11" s="890" t="str">
        <f>G89</f>
        <v>駅施設</v>
      </c>
      <c r="H11" s="890" t="str">
        <f t="shared" si="5"/>
        <v>駅施設</v>
      </c>
      <c r="I11" s="890" t="str">
        <f t="shared" si="5"/>
        <v>駅施設</v>
      </c>
      <c r="J11" s="890" t="str">
        <f t="shared" si="5"/>
        <v>駅施設</v>
      </c>
      <c r="K11" s="890" t="str">
        <f t="shared" si="5"/>
        <v>駅施設</v>
      </c>
      <c r="L11" s="890" t="str">
        <f t="shared" si="5"/>
        <v>駅施設</v>
      </c>
      <c r="M11" s="890" t="str">
        <f t="shared" si="5"/>
        <v>駅施設</v>
      </c>
      <c r="N11" s="891" t="str">
        <f t="shared" si="5"/>
        <v>駅施設</v>
      </c>
    </row>
    <row r="12" spans="1:14" s="889" customFormat="1" ht="30" customHeight="1">
      <c r="A12" s="2750" t="s">
        <v>2515</v>
      </c>
      <c r="B12" s="2751"/>
      <c r="C12" s="2751"/>
      <c r="D12" s="2751"/>
      <c r="E12" s="2751"/>
      <c r="F12" s="2752"/>
      <c r="G12" s="892" t="str">
        <f>G90</f>
        <v>無し</v>
      </c>
      <c r="H12" s="892" t="str">
        <f t="shared" si="5"/>
        <v>無し</v>
      </c>
      <c r="I12" s="892" t="str">
        <f t="shared" si="5"/>
        <v>無し</v>
      </c>
      <c r="J12" s="892" t="str">
        <f t="shared" si="5"/>
        <v>無し</v>
      </c>
      <c r="K12" s="892" t="str">
        <f t="shared" si="5"/>
        <v>無し</v>
      </c>
      <c r="L12" s="892" t="str">
        <f t="shared" si="5"/>
        <v>無し</v>
      </c>
      <c r="M12" s="892" t="str">
        <f t="shared" si="5"/>
        <v>無し</v>
      </c>
      <c r="N12" s="893" t="str">
        <f t="shared" si="5"/>
        <v>無し</v>
      </c>
    </row>
    <row r="13" spans="1:14" s="889" customFormat="1" ht="13.5" customHeight="1">
      <c r="A13" s="870"/>
      <c r="B13" s="894" t="s">
        <v>2516</v>
      </c>
      <c r="C13" s="895"/>
      <c r="D13" s="895"/>
      <c r="E13" s="896"/>
      <c r="F13" s="897">
        <f>SUM(G13:N13)</f>
        <v>8909478</v>
      </c>
      <c r="G13" s="898">
        <f>+G14+G15</f>
        <v>2033656</v>
      </c>
      <c r="H13" s="898">
        <f t="shared" ref="H13:N13" si="6">+H14+H15</f>
        <v>0</v>
      </c>
      <c r="I13" s="898">
        <f t="shared" si="6"/>
        <v>0</v>
      </c>
      <c r="J13" s="898">
        <f t="shared" si="6"/>
        <v>6775824</v>
      </c>
      <c r="K13" s="898">
        <f t="shared" si="6"/>
        <v>99998</v>
      </c>
      <c r="L13" s="898">
        <f t="shared" si="6"/>
        <v>0</v>
      </c>
      <c r="M13" s="898">
        <f t="shared" si="6"/>
        <v>0</v>
      </c>
      <c r="N13" s="899">
        <f t="shared" si="6"/>
        <v>0</v>
      </c>
    </row>
    <row r="14" spans="1:14" s="889" customFormat="1" ht="13.5" customHeight="1">
      <c r="A14" s="1285"/>
      <c r="B14" s="1286"/>
      <c r="C14" s="691" t="s">
        <v>2517</v>
      </c>
      <c r="D14" s="692"/>
      <c r="E14" s="874"/>
      <c r="F14" s="900">
        <f>SUM(G14:N14)</f>
        <v>7602802</v>
      </c>
      <c r="G14" s="901">
        <f>+工事1!I16</f>
        <v>1759829</v>
      </c>
      <c r="H14" s="901"/>
      <c r="I14" s="901"/>
      <c r="J14" s="901">
        <f>+工事2!I16</f>
        <v>5744720</v>
      </c>
      <c r="K14" s="901">
        <f>+工事3!I16</f>
        <v>98253</v>
      </c>
      <c r="L14" s="901"/>
      <c r="M14" s="901"/>
      <c r="N14" s="902"/>
    </row>
    <row r="15" spans="1:14" s="889" customFormat="1" ht="14">
      <c r="A15" s="1285"/>
      <c r="B15" s="1286"/>
      <c r="C15" s="698" t="s">
        <v>2518</v>
      </c>
      <c r="D15" s="698"/>
      <c r="E15" s="903"/>
      <c r="F15" s="904">
        <f>SUM(G15:N15)</f>
        <v>1306676</v>
      </c>
      <c r="G15" s="905">
        <f>G21+G22</f>
        <v>273827</v>
      </c>
      <c r="H15" s="905">
        <f t="shared" ref="H15:N15" si="7">H21+H22</f>
        <v>0</v>
      </c>
      <c r="I15" s="905">
        <f t="shared" si="7"/>
        <v>0</v>
      </c>
      <c r="J15" s="905">
        <f t="shared" si="7"/>
        <v>1031104</v>
      </c>
      <c r="K15" s="905">
        <f t="shared" si="7"/>
        <v>1745</v>
      </c>
      <c r="L15" s="905">
        <f t="shared" si="7"/>
        <v>0</v>
      </c>
      <c r="M15" s="905">
        <f t="shared" si="7"/>
        <v>0</v>
      </c>
      <c r="N15" s="906">
        <f t="shared" si="7"/>
        <v>0</v>
      </c>
    </row>
    <row r="16" spans="1:14" s="889" customFormat="1" ht="13.5" customHeight="1">
      <c r="A16" s="1285"/>
      <c r="B16" s="1286"/>
      <c r="C16" s="907" t="s">
        <v>2519</v>
      </c>
      <c r="D16" s="698"/>
      <c r="E16" s="903"/>
      <c r="F16" s="904">
        <f>SUM(G16:N16)</f>
        <v>192322</v>
      </c>
      <c r="G16" s="905">
        <f>G390-G174</f>
        <v>23429</v>
      </c>
      <c r="H16" s="905">
        <f t="shared" ref="H16:N16" si="8">H390-H174</f>
        <v>-6463</v>
      </c>
      <c r="I16" s="905">
        <f t="shared" si="8"/>
        <v>-171</v>
      </c>
      <c r="J16" s="905">
        <f t="shared" si="8"/>
        <v>175380</v>
      </c>
      <c r="K16" s="905">
        <f t="shared" si="8"/>
        <v>147</v>
      </c>
      <c r="L16" s="905">
        <f t="shared" si="8"/>
        <v>0</v>
      </c>
      <c r="M16" s="905">
        <f t="shared" si="8"/>
        <v>0</v>
      </c>
      <c r="N16" s="906">
        <f t="shared" si="8"/>
        <v>0</v>
      </c>
    </row>
    <row r="17" spans="1:39" s="889" customFormat="1" ht="13.5" customHeight="1">
      <c r="A17" s="1285"/>
      <c r="B17" s="1286"/>
      <c r="C17" s="907" t="s">
        <v>2520</v>
      </c>
      <c r="D17" s="698"/>
      <c r="E17" s="903"/>
      <c r="F17" s="904">
        <f>SUM(G17:AM17)</f>
        <v>-6634</v>
      </c>
      <c r="G17" s="905">
        <f>IF(AND(G14=0,G8=G84,G12="無し"),G16,0)</f>
        <v>0</v>
      </c>
      <c r="H17" s="905">
        <f t="shared" ref="H17:N17" si="9">IF(AND(H14=0,H8=H84,H12="無し"),H16,0)</f>
        <v>-6463</v>
      </c>
      <c r="I17" s="905">
        <f t="shared" si="9"/>
        <v>-171</v>
      </c>
      <c r="J17" s="905">
        <f t="shared" si="9"/>
        <v>0</v>
      </c>
      <c r="K17" s="905">
        <f t="shared" si="9"/>
        <v>0</v>
      </c>
      <c r="L17" s="905">
        <f t="shared" si="9"/>
        <v>0</v>
      </c>
      <c r="M17" s="905">
        <f t="shared" si="9"/>
        <v>0</v>
      </c>
      <c r="N17" s="906">
        <f t="shared" si="9"/>
        <v>0</v>
      </c>
      <c r="O17" s="908"/>
      <c r="P17" s="908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</row>
    <row r="18" spans="1:39" s="889" customFormat="1" ht="13.5" customHeight="1">
      <c r="A18" s="1285"/>
      <c r="B18" s="1286"/>
      <c r="C18" s="907" t="s">
        <v>2521</v>
      </c>
      <c r="D18" s="698"/>
      <c r="E18" s="903"/>
      <c r="F18" s="904">
        <f>SUM(G18:AM18)</f>
        <v>7602802</v>
      </c>
      <c r="G18" s="905">
        <f>G14-G43</f>
        <v>1759829</v>
      </c>
      <c r="H18" s="905">
        <f t="shared" ref="H18:N18" si="10">H14-H43</f>
        <v>0</v>
      </c>
      <c r="I18" s="905">
        <f t="shared" si="10"/>
        <v>0</v>
      </c>
      <c r="J18" s="905">
        <f t="shared" si="10"/>
        <v>5744720</v>
      </c>
      <c r="K18" s="905">
        <f t="shared" si="10"/>
        <v>98253</v>
      </c>
      <c r="L18" s="905">
        <f t="shared" si="10"/>
        <v>0</v>
      </c>
      <c r="M18" s="905">
        <f t="shared" si="10"/>
        <v>0</v>
      </c>
      <c r="N18" s="906">
        <f t="shared" si="10"/>
        <v>0</v>
      </c>
      <c r="O18" s="908"/>
      <c r="P18" s="908"/>
      <c r="Q18" s="908"/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</row>
    <row r="19" spans="1:39" s="889" customFormat="1" ht="13.5" customHeight="1">
      <c r="A19" s="1285"/>
      <c r="B19" s="1286"/>
      <c r="C19" s="907" t="s">
        <v>2522</v>
      </c>
      <c r="D19" s="698"/>
      <c r="E19" s="903"/>
      <c r="F19" s="904">
        <f>SUM(G19:AM19)</f>
        <v>-6635</v>
      </c>
      <c r="G19" s="905">
        <f>IF($F$17=0,0,(IF(G17=0,INT(G18/$F18*$F17),0)))</f>
        <v>-1536</v>
      </c>
      <c r="H19" s="905">
        <f t="shared" ref="H19:N19" si="11">IF($F$17=0,0,(IF(H17=0,INT(H18/$F18*$F17),0)))</f>
        <v>0</v>
      </c>
      <c r="I19" s="905">
        <f t="shared" si="11"/>
        <v>0</v>
      </c>
      <c r="J19" s="905">
        <f t="shared" si="11"/>
        <v>-5013</v>
      </c>
      <c r="K19" s="905">
        <f t="shared" si="11"/>
        <v>-86</v>
      </c>
      <c r="L19" s="905">
        <f t="shared" si="11"/>
        <v>0</v>
      </c>
      <c r="M19" s="905">
        <f t="shared" si="11"/>
        <v>0</v>
      </c>
      <c r="N19" s="906">
        <f t="shared" si="11"/>
        <v>0</v>
      </c>
      <c r="O19" s="908"/>
      <c r="P19" s="908"/>
      <c r="Q19" s="908"/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</row>
    <row r="20" spans="1:39" s="889" customFormat="1" ht="13.5" customHeight="1">
      <c r="A20" s="1285"/>
      <c r="B20" s="1286"/>
      <c r="C20" s="909" t="s">
        <v>2523</v>
      </c>
      <c r="D20" s="698"/>
      <c r="E20" s="903"/>
      <c r="F20" s="904">
        <f>F17-F19</f>
        <v>1</v>
      </c>
      <c r="G20" s="910">
        <f>IF($F20=0,0,IF(G19=0,0,$F20))</f>
        <v>1</v>
      </c>
      <c r="H20" s="910">
        <f t="shared" ref="H20:N20" si="12">IF($F20=0,0,IF(H19=0,0,$F20))</f>
        <v>0</v>
      </c>
      <c r="I20" s="910">
        <f t="shared" si="12"/>
        <v>0</v>
      </c>
      <c r="J20" s="910">
        <f t="shared" si="12"/>
        <v>1</v>
      </c>
      <c r="K20" s="910">
        <f t="shared" si="12"/>
        <v>1</v>
      </c>
      <c r="L20" s="910">
        <f t="shared" si="12"/>
        <v>0</v>
      </c>
      <c r="M20" s="910">
        <f t="shared" si="12"/>
        <v>0</v>
      </c>
      <c r="N20" s="911">
        <f t="shared" si="12"/>
        <v>0</v>
      </c>
      <c r="O20" s="912"/>
      <c r="P20" s="912"/>
      <c r="Q20" s="912"/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</row>
    <row r="21" spans="1:39" s="889" customFormat="1" ht="13.5" customHeight="1">
      <c r="A21" s="1285"/>
      <c r="B21" s="1286"/>
      <c r="C21" s="907" t="s">
        <v>2524</v>
      </c>
      <c r="D21" s="698"/>
      <c r="E21" s="903"/>
      <c r="F21" s="904">
        <f>SUM(G21:AM21)</f>
        <v>192324</v>
      </c>
      <c r="G21" s="910">
        <f>IF(G43="",IF(AND(G14=0,G8=G84,G12="無し"),0,G16+G19+G20))</f>
        <v>21894</v>
      </c>
      <c r="H21" s="910">
        <f t="shared" ref="H21:N21" si="13">IF(H43="",IF(H14=0,IF(H8=H84,0,H16+H19+H20),H16+H19+H20),0)</f>
        <v>0</v>
      </c>
      <c r="I21" s="910">
        <f t="shared" si="13"/>
        <v>0</v>
      </c>
      <c r="J21" s="910">
        <f t="shared" si="13"/>
        <v>170368</v>
      </c>
      <c r="K21" s="910">
        <f t="shared" si="13"/>
        <v>62</v>
      </c>
      <c r="L21" s="910">
        <f t="shared" si="13"/>
        <v>0</v>
      </c>
      <c r="M21" s="910">
        <f t="shared" si="13"/>
        <v>0</v>
      </c>
      <c r="N21" s="911">
        <f t="shared" si="13"/>
        <v>0</v>
      </c>
      <c r="O21" s="912"/>
      <c r="P21" s="912"/>
      <c r="Q21" s="912"/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</row>
    <row r="22" spans="1:39" s="889" customFormat="1" ht="14">
      <c r="A22" s="1285"/>
      <c r="B22" s="1286"/>
      <c r="C22" s="907" t="s">
        <v>2525</v>
      </c>
      <c r="D22" s="698"/>
      <c r="E22" s="903"/>
      <c r="F22" s="904">
        <f>SUM(G22:N22)</f>
        <v>1114352</v>
      </c>
      <c r="G22" s="913">
        <f>+工事1!I45</f>
        <v>251933</v>
      </c>
      <c r="H22" s="913"/>
      <c r="I22" s="913"/>
      <c r="J22" s="913">
        <f>+工事2!I45</f>
        <v>860736</v>
      </c>
      <c r="K22" s="913">
        <f>+工事3!I45</f>
        <v>1683</v>
      </c>
      <c r="L22" s="913"/>
      <c r="M22" s="913"/>
      <c r="N22" s="914"/>
    </row>
    <row r="23" spans="1:39" s="889" customFormat="1" ht="13.5" customHeight="1">
      <c r="A23" s="1285"/>
      <c r="B23" s="1286"/>
      <c r="C23" s="915" t="s">
        <v>2526</v>
      </c>
      <c r="D23" s="698"/>
      <c r="E23" s="903"/>
      <c r="F23" s="904">
        <f>SUM(G23:N23)</f>
        <v>0</v>
      </c>
      <c r="G23" s="913"/>
      <c r="H23" s="913"/>
      <c r="I23" s="913"/>
      <c r="J23" s="913"/>
      <c r="K23" s="913"/>
      <c r="L23" s="913"/>
      <c r="M23" s="913"/>
      <c r="N23" s="914"/>
    </row>
    <row r="24" spans="1:39" s="889" customFormat="1" ht="14">
      <c r="A24" s="1285"/>
      <c r="B24" s="1286"/>
      <c r="C24" s="916" t="s">
        <v>2527</v>
      </c>
      <c r="D24" s="917"/>
      <c r="E24" s="918"/>
      <c r="F24" s="919">
        <f>SUM(G24:N24)</f>
        <v>0</v>
      </c>
      <c r="G24" s="920"/>
      <c r="H24" s="920"/>
      <c r="I24" s="920"/>
      <c r="J24" s="920"/>
      <c r="K24" s="920"/>
      <c r="L24" s="920"/>
      <c r="M24" s="920"/>
      <c r="N24" s="921"/>
    </row>
    <row r="25" spans="1:39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8"/>
    </row>
    <row r="26" spans="1:39" s="889" customFormat="1" ht="14">
      <c r="A26" s="2753"/>
      <c r="B26" s="2755" t="s">
        <v>2529</v>
      </c>
      <c r="C26" s="692" t="s">
        <v>2530</v>
      </c>
      <c r="D26" s="692"/>
      <c r="E26" s="875"/>
      <c r="F26" s="900">
        <f t="shared" ref="F26:F32" si="14">SUM(G26:N26)</f>
        <v>0</v>
      </c>
      <c r="G26" s="901"/>
      <c r="H26" s="901"/>
      <c r="I26" s="901">
        <f t="shared" ref="I26:N26" si="15">IF(I9="新営",I14-SUM(I28:I39)-I43-I42,0)</f>
        <v>0</v>
      </c>
      <c r="J26" s="901">
        <f t="shared" si="15"/>
        <v>0</v>
      </c>
      <c r="K26" s="901">
        <f t="shared" si="15"/>
        <v>0</v>
      </c>
      <c r="L26" s="901">
        <f t="shared" si="15"/>
        <v>0</v>
      </c>
      <c r="M26" s="901">
        <f t="shared" si="15"/>
        <v>0</v>
      </c>
      <c r="N26" s="902">
        <f t="shared" si="15"/>
        <v>0</v>
      </c>
    </row>
    <row r="27" spans="1:39" s="889" customFormat="1" ht="14">
      <c r="A27" s="2753"/>
      <c r="B27" s="2756"/>
      <c r="C27" s="699" t="s">
        <v>2531</v>
      </c>
      <c r="D27" s="699"/>
      <c r="E27" s="903"/>
      <c r="F27" s="904">
        <f t="shared" si="14"/>
        <v>6126335</v>
      </c>
      <c r="G27" s="905">
        <f>IF(G9="改修",G14-SUM(G28:G39)-G43-G42,0)</f>
        <v>376962</v>
      </c>
      <c r="H27" s="905">
        <f t="shared" ref="H27:N27" si="16">IF(H9="改修",H14-SUM(H28:H39)-H43-H42,0)</f>
        <v>0</v>
      </c>
      <c r="I27" s="905">
        <f t="shared" si="16"/>
        <v>0</v>
      </c>
      <c r="J27" s="905">
        <f t="shared" si="16"/>
        <v>5744720</v>
      </c>
      <c r="K27" s="905">
        <f t="shared" si="16"/>
        <v>4653</v>
      </c>
      <c r="L27" s="905">
        <f t="shared" si="16"/>
        <v>0</v>
      </c>
      <c r="M27" s="905">
        <f t="shared" si="16"/>
        <v>0</v>
      </c>
      <c r="N27" s="906">
        <f t="shared" si="16"/>
        <v>0</v>
      </c>
    </row>
    <row r="28" spans="1:39" s="889" customFormat="1" ht="14">
      <c r="A28" s="2753"/>
      <c r="B28" s="2756"/>
      <c r="C28" s="929" t="s">
        <v>2532</v>
      </c>
      <c r="D28" s="699"/>
      <c r="E28" s="903"/>
      <c r="F28" s="904">
        <f t="shared" si="14"/>
        <v>0</v>
      </c>
      <c r="G28" s="913"/>
      <c r="H28" s="913"/>
      <c r="I28" s="913"/>
      <c r="J28" s="913"/>
      <c r="K28" s="913"/>
      <c r="L28" s="913"/>
      <c r="M28" s="913"/>
      <c r="N28" s="914"/>
    </row>
    <row r="29" spans="1:39" s="889" customFormat="1" ht="14">
      <c r="A29" s="2753"/>
      <c r="B29" s="2757"/>
      <c r="C29" s="929" t="s">
        <v>2533</v>
      </c>
      <c r="D29" s="699"/>
      <c r="E29" s="903"/>
      <c r="F29" s="904">
        <f t="shared" si="14"/>
        <v>0</v>
      </c>
      <c r="G29" s="913"/>
      <c r="H29" s="913"/>
      <c r="I29" s="913"/>
      <c r="J29" s="913"/>
      <c r="K29" s="913"/>
      <c r="L29" s="913"/>
      <c r="M29" s="913"/>
      <c r="N29" s="914"/>
    </row>
    <row r="30" spans="1:39" s="889" customFormat="1" ht="13.5" customHeight="1">
      <c r="A30" s="2753"/>
      <c r="B30" s="2758" t="s">
        <v>2534</v>
      </c>
      <c r="C30" s="698" t="s">
        <v>2535</v>
      </c>
      <c r="D30" s="699"/>
      <c r="E30" s="903"/>
      <c r="F30" s="904">
        <f t="shared" si="14"/>
        <v>0</v>
      </c>
      <c r="G30" s="913"/>
      <c r="H30" s="913"/>
      <c r="I30" s="913"/>
      <c r="J30" s="913"/>
      <c r="K30" s="913"/>
      <c r="L30" s="913"/>
      <c r="M30" s="913"/>
      <c r="N30" s="914"/>
    </row>
    <row r="31" spans="1:39" s="889" customFormat="1" ht="14">
      <c r="A31" s="2753"/>
      <c r="B31" s="2756"/>
      <c r="C31" s="698" t="s">
        <v>2536</v>
      </c>
      <c r="D31" s="699"/>
      <c r="E31" s="903"/>
      <c r="F31" s="904">
        <f t="shared" si="14"/>
        <v>0</v>
      </c>
      <c r="G31" s="913"/>
      <c r="H31" s="913"/>
      <c r="I31" s="913"/>
      <c r="J31" s="913"/>
      <c r="K31" s="913"/>
      <c r="L31" s="913"/>
      <c r="M31" s="913"/>
      <c r="N31" s="914"/>
    </row>
    <row r="32" spans="1:39" s="889" customFormat="1" ht="14">
      <c r="A32" s="2753"/>
      <c r="B32" s="2756"/>
      <c r="C32" s="699" t="s">
        <v>2537</v>
      </c>
      <c r="D32" s="699"/>
      <c r="E32" s="903"/>
      <c r="F32" s="904">
        <f t="shared" si="14"/>
        <v>1476900</v>
      </c>
      <c r="G32" s="913">
        <f>+工事1!I102+工事1!I103</f>
        <v>1383300</v>
      </c>
      <c r="H32" s="913"/>
      <c r="I32" s="913"/>
      <c r="J32" s="913"/>
      <c r="K32" s="913">
        <f>+SUM(工事3!I53:I64)</f>
        <v>93600</v>
      </c>
      <c r="L32" s="913"/>
      <c r="M32" s="913"/>
      <c r="N32" s="914"/>
    </row>
    <row r="33" spans="1:14" s="889" customFormat="1" ht="13.5" customHeight="1">
      <c r="A33" s="2753"/>
      <c r="B33" s="2756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6"/>
    </row>
    <row r="34" spans="1:14" s="889" customFormat="1" ht="14">
      <c r="A34" s="2753"/>
      <c r="B34" s="2756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6"/>
    </row>
    <row r="35" spans="1:14" s="889" customFormat="1" ht="14">
      <c r="A35" s="2753"/>
      <c r="B35" s="2756"/>
      <c r="C35" s="699" t="s">
        <v>2540</v>
      </c>
      <c r="D35" s="699"/>
      <c r="E35" s="903"/>
      <c r="F35" s="904">
        <f t="shared" ref="F35:F45" si="17">SUM(G35:N35)</f>
        <v>0</v>
      </c>
      <c r="G35" s="913"/>
      <c r="H35" s="913"/>
      <c r="I35" s="913"/>
      <c r="J35" s="913"/>
      <c r="K35" s="913"/>
      <c r="L35" s="913"/>
      <c r="M35" s="913"/>
      <c r="N35" s="914"/>
    </row>
    <row r="36" spans="1:14" s="889" customFormat="1" ht="14">
      <c r="A36" s="2753"/>
      <c r="B36" s="2756"/>
      <c r="C36" s="930" t="s">
        <v>2541</v>
      </c>
      <c r="D36" s="699"/>
      <c r="E36" s="903"/>
      <c r="F36" s="904">
        <f t="shared" si="17"/>
        <v>0</v>
      </c>
      <c r="G36" s="913"/>
      <c r="H36" s="913"/>
      <c r="I36" s="913"/>
      <c r="J36" s="913"/>
      <c r="K36" s="913"/>
      <c r="L36" s="913"/>
      <c r="M36" s="913"/>
      <c r="N36" s="914"/>
    </row>
    <row r="37" spans="1:14" s="889" customFormat="1" ht="14">
      <c r="A37" s="2753"/>
      <c r="B37" s="2756"/>
      <c r="C37" s="931" t="s">
        <v>2542</v>
      </c>
      <c r="D37" s="699"/>
      <c r="E37" s="903"/>
      <c r="F37" s="904">
        <f t="shared" si="17"/>
        <v>0</v>
      </c>
      <c r="G37" s="913"/>
      <c r="H37" s="913"/>
      <c r="I37" s="913"/>
      <c r="J37" s="913"/>
      <c r="K37" s="913"/>
      <c r="L37" s="913"/>
      <c r="M37" s="913"/>
      <c r="N37" s="914"/>
    </row>
    <row r="38" spans="1:14" s="889" customFormat="1" ht="14">
      <c r="A38" s="2753"/>
      <c r="B38" s="2757"/>
      <c r="C38" s="699" t="s">
        <v>2543</v>
      </c>
      <c r="D38" s="699"/>
      <c r="E38" s="903"/>
      <c r="F38" s="904">
        <f t="shared" si="17"/>
        <v>0</v>
      </c>
      <c r="G38" s="913"/>
      <c r="H38" s="913"/>
      <c r="I38" s="913"/>
      <c r="J38" s="913"/>
      <c r="K38" s="913"/>
      <c r="L38" s="913"/>
      <c r="M38" s="913"/>
      <c r="N38" s="914"/>
    </row>
    <row r="39" spans="1:14" s="889" customFormat="1" ht="14">
      <c r="A39" s="2753"/>
      <c r="B39" s="2758" t="s">
        <v>2544</v>
      </c>
      <c r="C39" s="929" t="s">
        <v>2545</v>
      </c>
      <c r="D39" s="699"/>
      <c r="E39" s="903"/>
      <c r="F39" s="904">
        <f t="shared" si="17"/>
        <v>-433</v>
      </c>
      <c r="G39" s="913">
        <f>+工事1!I129+工事1!I130+工事1!I131</f>
        <v>-433</v>
      </c>
      <c r="H39" s="913"/>
      <c r="I39" s="913"/>
      <c r="J39" s="913"/>
      <c r="K39" s="913"/>
      <c r="L39" s="913"/>
      <c r="M39" s="913"/>
      <c r="N39" s="914"/>
    </row>
    <row r="40" spans="1:14" s="889" customFormat="1" ht="14">
      <c r="A40" s="2753"/>
      <c r="B40" s="2756"/>
      <c r="C40" s="929" t="s">
        <v>2546</v>
      </c>
      <c r="D40" s="699"/>
      <c r="E40" s="903"/>
      <c r="F40" s="904">
        <f t="shared" si="17"/>
        <v>0</v>
      </c>
      <c r="G40" s="905">
        <f t="shared" ref="G40:N40" si="18">+G24</f>
        <v>0</v>
      </c>
      <c r="H40" s="905">
        <f t="shared" si="18"/>
        <v>0</v>
      </c>
      <c r="I40" s="905">
        <f t="shared" si="18"/>
        <v>0</v>
      </c>
      <c r="J40" s="905">
        <f t="shared" si="18"/>
        <v>0</v>
      </c>
      <c r="K40" s="905">
        <f t="shared" si="18"/>
        <v>0</v>
      </c>
      <c r="L40" s="905">
        <f t="shared" si="18"/>
        <v>0</v>
      </c>
      <c r="M40" s="905">
        <f t="shared" si="18"/>
        <v>0</v>
      </c>
      <c r="N40" s="906">
        <f t="shared" si="18"/>
        <v>0</v>
      </c>
    </row>
    <row r="41" spans="1:14" s="889" customFormat="1" ht="14">
      <c r="A41" s="2753"/>
      <c r="B41" s="2756"/>
      <c r="C41" s="699" t="s">
        <v>2547</v>
      </c>
      <c r="D41" s="699"/>
      <c r="E41" s="903"/>
      <c r="F41" s="904">
        <f t="shared" si="17"/>
        <v>0</v>
      </c>
      <c r="G41" s="905">
        <f t="shared" ref="G41:N41" si="19">+G23</f>
        <v>0</v>
      </c>
      <c r="H41" s="905">
        <f t="shared" si="19"/>
        <v>0</v>
      </c>
      <c r="I41" s="905">
        <f t="shared" si="19"/>
        <v>0</v>
      </c>
      <c r="J41" s="905">
        <f t="shared" si="19"/>
        <v>0</v>
      </c>
      <c r="K41" s="905">
        <f t="shared" si="19"/>
        <v>0</v>
      </c>
      <c r="L41" s="905">
        <f t="shared" si="19"/>
        <v>0</v>
      </c>
      <c r="M41" s="905">
        <f t="shared" si="19"/>
        <v>0</v>
      </c>
      <c r="N41" s="906">
        <f t="shared" si="19"/>
        <v>0</v>
      </c>
    </row>
    <row r="42" spans="1:14" s="889" customFormat="1" ht="14">
      <c r="A42" s="2753"/>
      <c r="B42" s="2756"/>
      <c r="C42" s="699" t="s">
        <v>2548</v>
      </c>
      <c r="D42" s="699"/>
      <c r="E42" s="903"/>
      <c r="F42" s="904">
        <f t="shared" si="17"/>
        <v>0</v>
      </c>
      <c r="G42" s="913"/>
      <c r="H42" s="913"/>
      <c r="I42" s="913"/>
      <c r="J42" s="913"/>
      <c r="K42" s="913"/>
      <c r="L42" s="913"/>
      <c r="M42" s="913"/>
      <c r="N42" s="914"/>
    </row>
    <row r="43" spans="1:14" s="889" customFormat="1" ht="13.5" customHeight="1">
      <c r="A43" s="2753"/>
      <c r="B43" s="2756"/>
      <c r="C43" s="932" t="s">
        <v>2549</v>
      </c>
      <c r="D43" s="933"/>
      <c r="E43" s="934"/>
      <c r="F43" s="904">
        <f t="shared" si="17"/>
        <v>0</v>
      </c>
      <c r="G43" s="935"/>
      <c r="H43" s="935"/>
      <c r="I43" s="935"/>
      <c r="J43" s="935"/>
      <c r="K43" s="935"/>
      <c r="L43" s="935"/>
      <c r="M43" s="935"/>
      <c r="N43" s="936"/>
    </row>
    <row r="44" spans="1:14" s="889" customFormat="1" ht="14">
      <c r="A44" s="2753"/>
      <c r="B44" s="2756"/>
      <c r="C44" s="932" t="s">
        <v>2550</v>
      </c>
      <c r="D44" s="933"/>
      <c r="E44" s="934"/>
      <c r="F44" s="904">
        <f t="shared" si="17"/>
        <v>0</v>
      </c>
      <c r="G44" s="935"/>
      <c r="H44" s="935"/>
      <c r="I44" s="935"/>
      <c r="J44" s="935"/>
      <c r="K44" s="935"/>
      <c r="L44" s="935"/>
      <c r="M44" s="935"/>
      <c r="N44" s="936"/>
    </row>
    <row r="45" spans="1:14" s="889" customFormat="1" ht="14">
      <c r="A45" s="2754"/>
      <c r="B45" s="2759"/>
      <c r="C45" s="937" t="s">
        <v>2551</v>
      </c>
      <c r="D45" s="937"/>
      <c r="E45" s="938"/>
      <c r="F45" s="939">
        <f t="shared" si="17"/>
        <v>0</v>
      </c>
      <c r="G45" s="940"/>
      <c r="H45" s="940"/>
      <c r="I45" s="940"/>
      <c r="J45" s="940"/>
      <c r="K45" s="940"/>
      <c r="L45" s="940"/>
      <c r="M45" s="940"/>
      <c r="N45" s="941"/>
    </row>
    <row r="46" spans="1:14" s="839" customFormat="1" ht="13.5" customHeight="1">
      <c r="A46" s="2737" t="s">
        <v>2552</v>
      </c>
      <c r="B46" s="2738"/>
      <c r="C46" s="2739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6"/>
    </row>
    <row r="47" spans="1:14" s="952" customFormat="1" ht="14">
      <c r="A47" s="2740"/>
      <c r="B47" s="2741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N47" si="20">+G414-G198</f>
        <v>0</v>
      </c>
      <c r="H47" s="950">
        <f t="shared" si="20"/>
        <v>0</v>
      </c>
      <c r="I47" s="950">
        <f t="shared" si="20"/>
        <v>0</v>
      </c>
      <c r="J47" s="950">
        <f t="shared" si="20"/>
        <v>0</v>
      </c>
      <c r="K47" s="950">
        <f t="shared" si="20"/>
        <v>0</v>
      </c>
      <c r="L47" s="950">
        <f t="shared" si="20"/>
        <v>0</v>
      </c>
      <c r="M47" s="950">
        <f t="shared" si="20"/>
        <v>0</v>
      </c>
      <c r="N47" s="951">
        <f t="shared" si="20"/>
        <v>0</v>
      </c>
    </row>
    <row r="48" spans="1:14" s="952" customFormat="1" ht="14">
      <c r="A48" s="2740"/>
      <c r="B48" s="2742"/>
      <c r="C48" s="953" t="s">
        <v>2531</v>
      </c>
      <c r="D48" s="948"/>
      <c r="E48" s="949"/>
      <c r="F48" s="950">
        <f t="shared" ref="F48:N53" si="21">F416-F200</f>
        <v>626602</v>
      </c>
      <c r="G48" s="950">
        <f t="shared" si="21"/>
        <v>33831</v>
      </c>
      <c r="H48" s="950">
        <f t="shared" si="21"/>
        <v>-47494</v>
      </c>
      <c r="I48" s="950">
        <f t="shared" si="21"/>
        <v>-2525</v>
      </c>
      <c r="J48" s="950">
        <f t="shared" si="21"/>
        <v>655858</v>
      </c>
      <c r="K48" s="950">
        <f t="shared" si="21"/>
        <v>-13068</v>
      </c>
      <c r="L48" s="950">
        <f t="shared" si="21"/>
        <v>0</v>
      </c>
      <c r="M48" s="950">
        <f t="shared" si="21"/>
        <v>0</v>
      </c>
      <c r="N48" s="951">
        <f t="shared" si="21"/>
        <v>0</v>
      </c>
    </row>
    <row r="49" spans="1:14" s="952" customFormat="1" ht="14">
      <c r="A49" s="2740"/>
      <c r="B49" s="2742"/>
      <c r="C49" s="953" t="s">
        <v>2553</v>
      </c>
      <c r="D49" s="948"/>
      <c r="E49" s="954"/>
      <c r="F49" s="950">
        <f t="shared" si="21"/>
        <v>0</v>
      </c>
      <c r="G49" s="950">
        <f t="shared" si="21"/>
        <v>0</v>
      </c>
      <c r="H49" s="950">
        <f t="shared" si="21"/>
        <v>0</v>
      </c>
      <c r="I49" s="950">
        <f t="shared" si="21"/>
        <v>0</v>
      </c>
      <c r="J49" s="950">
        <f t="shared" si="21"/>
        <v>0</v>
      </c>
      <c r="K49" s="950">
        <f t="shared" si="21"/>
        <v>0</v>
      </c>
      <c r="L49" s="950">
        <f t="shared" si="21"/>
        <v>0</v>
      </c>
      <c r="M49" s="950">
        <f t="shared" si="21"/>
        <v>0</v>
      </c>
      <c r="N49" s="951">
        <f t="shared" si="21"/>
        <v>0</v>
      </c>
    </row>
    <row r="50" spans="1:14" s="952" customFormat="1" ht="14">
      <c r="A50" s="2740"/>
      <c r="B50" s="2743"/>
      <c r="C50" s="953" t="s">
        <v>2554</v>
      </c>
      <c r="D50" s="948"/>
      <c r="E50" s="954"/>
      <c r="F50" s="950">
        <f t="shared" si="21"/>
        <v>0</v>
      </c>
      <c r="G50" s="950">
        <f t="shared" si="21"/>
        <v>0</v>
      </c>
      <c r="H50" s="950">
        <f t="shared" si="21"/>
        <v>0</v>
      </c>
      <c r="I50" s="950">
        <f t="shared" si="21"/>
        <v>0</v>
      </c>
      <c r="J50" s="950">
        <f t="shared" si="21"/>
        <v>0</v>
      </c>
      <c r="K50" s="950">
        <f t="shared" si="21"/>
        <v>0</v>
      </c>
      <c r="L50" s="950">
        <f t="shared" si="21"/>
        <v>0</v>
      </c>
      <c r="M50" s="950">
        <f t="shared" si="21"/>
        <v>0</v>
      </c>
      <c r="N50" s="951">
        <f t="shared" si="21"/>
        <v>0</v>
      </c>
    </row>
    <row r="51" spans="1:14" s="952" customFormat="1" ht="14">
      <c r="A51" s="2740"/>
      <c r="B51" s="2744" t="s">
        <v>2555</v>
      </c>
      <c r="C51" s="953" t="s">
        <v>2556</v>
      </c>
      <c r="D51" s="948">
        <v>1</v>
      </c>
      <c r="E51" s="954">
        <v>0.02</v>
      </c>
      <c r="F51" s="950">
        <f t="shared" si="21"/>
        <v>0</v>
      </c>
      <c r="G51" s="950">
        <f t="shared" si="21"/>
        <v>0</v>
      </c>
      <c r="H51" s="950">
        <f t="shared" si="21"/>
        <v>0</v>
      </c>
      <c r="I51" s="950">
        <f t="shared" si="21"/>
        <v>0</v>
      </c>
      <c r="J51" s="950">
        <f t="shared" si="21"/>
        <v>0</v>
      </c>
      <c r="K51" s="950">
        <f t="shared" si="21"/>
        <v>0</v>
      </c>
      <c r="L51" s="950">
        <f t="shared" si="21"/>
        <v>0</v>
      </c>
      <c r="M51" s="950">
        <f t="shared" si="21"/>
        <v>0</v>
      </c>
      <c r="N51" s="951">
        <f t="shared" si="21"/>
        <v>0</v>
      </c>
    </row>
    <row r="52" spans="1:14" s="952" customFormat="1" ht="14">
      <c r="A52" s="2740"/>
      <c r="B52" s="2742"/>
      <c r="C52" s="953" t="s">
        <v>2536</v>
      </c>
      <c r="D52" s="948">
        <v>1</v>
      </c>
      <c r="E52" s="954">
        <v>0.02</v>
      </c>
      <c r="F52" s="950">
        <f t="shared" si="21"/>
        <v>0</v>
      </c>
      <c r="G52" s="950">
        <f t="shared" si="21"/>
        <v>0</v>
      </c>
      <c r="H52" s="950">
        <f t="shared" si="21"/>
        <v>0</v>
      </c>
      <c r="I52" s="950">
        <f t="shared" si="21"/>
        <v>0</v>
      </c>
      <c r="J52" s="950">
        <f t="shared" si="21"/>
        <v>0</v>
      </c>
      <c r="K52" s="950">
        <f t="shared" si="21"/>
        <v>0</v>
      </c>
      <c r="L52" s="950">
        <f t="shared" si="21"/>
        <v>0</v>
      </c>
      <c r="M52" s="950">
        <f t="shared" si="21"/>
        <v>0</v>
      </c>
      <c r="N52" s="951">
        <f t="shared" si="21"/>
        <v>0</v>
      </c>
    </row>
    <row r="53" spans="1:14" s="952" customFormat="1" ht="14">
      <c r="A53" s="2740"/>
      <c r="B53" s="2742"/>
      <c r="C53" s="953" t="s">
        <v>2537</v>
      </c>
      <c r="D53" s="948">
        <v>1</v>
      </c>
      <c r="E53" s="954">
        <v>0.02</v>
      </c>
      <c r="F53" s="950">
        <f t="shared" si="21"/>
        <v>29834</v>
      </c>
      <c r="G53" s="950">
        <f t="shared" si="21"/>
        <v>27943</v>
      </c>
      <c r="H53" s="950">
        <f t="shared" si="21"/>
        <v>0</v>
      </c>
      <c r="I53" s="950">
        <f t="shared" si="21"/>
        <v>0</v>
      </c>
      <c r="J53" s="950">
        <f t="shared" si="21"/>
        <v>0</v>
      </c>
      <c r="K53" s="950">
        <f t="shared" si="21"/>
        <v>1891</v>
      </c>
      <c r="L53" s="950">
        <f t="shared" si="21"/>
        <v>0</v>
      </c>
      <c r="M53" s="950">
        <f t="shared" si="21"/>
        <v>0</v>
      </c>
      <c r="N53" s="951">
        <f t="shared" si="21"/>
        <v>0</v>
      </c>
    </row>
    <row r="54" spans="1:14" s="952" customFormat="1" ht="14">
      <c r="A54" s="2740"/>
      <c r="B54" s="2742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N54" si="22">G424-G208</f>
        <v>0</v>
      </c>
      <c r="H54" s="950">
        <f t="shared" si="22"/>
        <v>0</v>
      </c>
      <c r="I54" s="950">
        <f t="shared" si="22"/>
        <v>0</v>
      </c>
      <c r="J54" s="950">
        <f t="shared" si="22"/>
        <v>0</v>
      </c>
      <c r="K54" s="950">
        <f t="shared" si="22"/>
        <v>0</v>
      </c>
      <c r="L54" s="950">
        <f t="shared" si="22"/>
        <v>0</v>
      </c>
      <c r="M54" s="950">
        <f t="shared" si="22"/>
        <v>0</v>
      </c>
      <c r="N54" s="951">
        <f t="shared" si="22"/>
        <v>0</v>
      </c>
    </row>
    <row r="55" spans="1:14" s="952" customFormat="1" ht="14">
      <c r="A55" s="2740"/>
      <c r="B55" s="2742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1"/>
    </row>
    <row r="56" spans="1:14" s="952" customFormat="1" ht="14">
      <c r="A56" s="2740"/>
      <c r="B56" s="2742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1"/>
    </row>
    <row r="57" spans="1:14" s="952" customFormat="1" ht="14">
      <c r="A57" s="2740"/>
      <c r="B57" s="2743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N57" si="23">G427-G211</f>
        <v>0</v>
      </c>
      <c r="H57" s="950">
        <f t="shared" si="23"/>
        <v>0</v>
      </c>
      <c r="I57" s="950">
        <f t="shared" si="23"/>
        <v>0</v>
      </c>
      <c r="J57" s="950">
        <f t="shared" si="23"/>
        <v>0</v>
      </c>
      <c r="K57" s="950">
        <f t="shared" si="23"/>
        <v>0</v>
      </c>
      <c r="L57" s="950">
        <f t="shared" si="23"/>
        <v>0</v>
      </c>
      <c r="M57" s="950">
        <f t="shared" si="23"/>
        <v>0</v>
      </c>
      <c r="N57" s="951">
        <f t="shared" si="23"/>
        <v>0</v>
      </c>
    </row>
    <row r="58" spans="1:14" s="952" customFormat="1" ht="14">
      <c r="A58" s="2740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N58" si="24">G430-G214</f>
        <v>0</v>
      </c>
      <c r="H58" s="950">
        <f t="shared" si="24"/>
        <v>0</v>
      </c>
      <c r="I58" s="950">
        <f t="shared" si="24"/>
        <v>0</v>
      </c>
      <c r="J58" s="950">
        <f t="shared" si="24"/>
        <v>0</v>
      </c>
      <c r="K58" s="950">
        <f t="shared" si="24"/>
        <v>0</v>
      </c>
      <c r="L58" s="950">
        <f t="shared" si="24"/>
        <v>0</v>
      </c>
      <c r="M58" s="950">
        <f t="shared" si="24"/>
        <v>0</v>
      </c>
      <c r="N58" s="951">
        <f t="shared" si="24"/>
        <v>0</v>
      </c>
    </row>
    <row r="59" spans="1:14" s="839" customFormat="1" ht="14">
      <c r="A59" s="2740"/>
      <c r="B59" s="958" t="s">
        <v>2561</v>
      </c>
      <c r="C59" s="959" t="s">
        <v>2562</v>
      </c>
      <c r="D59" s="948">
        <v>1</v>
      </c>
      <c r="E59" s="954"/>
      <c r="F59" s="950">
        <f>SUM(G59:N59)</f>
        <v>0</v>
      </c>
      <c r="G59" s="935"/>
      <c r="H59" s="935"/>
      <c r="I59" s="935"/>
      <c r="J59" s="935"/>
      <c r="K59" s="935"/>
      <c r="L59" s="935"/>
      <c r="M59" s="935"/>
      <c r="N59" s="936"/>
    </row>
    <row r="60" spans="1:14" s="839" customFormat="1" ht="14">
      <c r="A60" s="2740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6"/>
    </row>
    <row r="61" spans="1:14" s="839" customFormat="1" ht="14">
      <c r="A61" s="967"/>
      <c r="B61" s="2745" t="s">
        <v>2565</v>
      </c>
      <c r="C61" s="2746"/>
      <c r="D61" s="968"/>
      <c r="E61" s="969"/>
      <c r="F61" s="970">
        <f>SUM(G61:N61)</f>
        <v>656436</v>
      </c>
      <c r="G61" s="971">
        <f>SUM(G47:G60)</f>
        <v>61774</v>
      </c>
      <c r="H61" s="971">
        <f t="shared" ref="H61:N61" si="25">SUM(H47:H60)</f>
        <v>-47494</v>
      </c>
      <c r="I61" s="971">
        <f t="shared" si="25"/>
        <v>-2525</v>
      </c>
      <c r="J61" s="971">
        <f t="shared" si="25"/>
        <v>655858</v>
      </c>
      <c r="K61" s="971">
        <f t="shared" si="25"/>
        <v>-11177</v>
      </c>
      <c r="L61" s="971">
        <f t="shared" si="25"/>
        <v>0</v>
      </c>
      <c r="M61" s="971">
        <f t="shared" si="25"/>
        <v>0</v>
      </c>
      <c r="N61" s="972">
        <f t="shared" si="25"/>
        <v>0</v>
      </c>
    </row>
    <row r="62" spans="1:14" s="839" customFormat="1" ht="14" hidden="1">
      <c r="A62" s="967"/>
      <c r="B62" s="2745" t="s">
        <v>2566</v>
      </c>
      <c r="C62" s="2746"/>
      <c r="D62" s="968"/>
      <c r="E62" s="969"/>
      <c r="F62" s="970">
        <f>SUM(G62:N62)</f>
        <v>-50019</v>
      </c>
      <c r="G62" s="973">
        <f>IF(G59="",IF(G14+G22=0,IF(G8=G84,G61,0),0),0)</f>
        <v>0</v>
      </c>
      <c r="H62" s="973">
        <f t="shared" ref="H62:N62" si="26">IF(H59="",IF(H14+H22=0,IF(H8=H84,H61,0),0),0)</f>
        <v>-47494</v>
      </c>
      <c r="I62" s="973">
        <f t="shared" si="26"/>
        <v>-2525</v>
      </c>
      <c r="J62" s="973">
        <f t="shared" si="26"/>
        <v>0</v>
      </c>
      <c r="K62" s="973">
        <f t="shared" si="26"/>
        <v>0</v>
      </c>
      <c r="L62" s="973">
        <f t="shared" si="26"/>
        <v>0</v>
      </c>
      <c r="M62" s="973">
        <f t="shared" si="26"/>
        <v>0</v>
      </c>
      <c r="N62" s="973">
        <f t="shared" si="26"/>
        <v>0</v>
      </c>
    </row>
    <row r="63" spans="1:14" s="839" customFormat="1" ht="13.5" hidden="1" customHeight="1">
      <c r="A63" s="967"/>
      <c r="B63" s="2745" t="s">
        <v>2567</v>
      </c>
      <c r="C63" s="2746"/>
      <c r="D63" s="968"/>
      <c r="E63" s="969"/>
      <c r="F63" s="970">
        <f>SUM(G63:N63)</f>
        <v>8909478</v>
      </c>
      <c r="G63" s="974">
        <f t="shared" ref="G63:N63" si="27">G13-(G43+G44)</f>
        <v>2033656</v>
      </c>
      <c r="H63" s="974">
        <f t="shared" si="27"/>
        <v>0</v>
      </c>
      <c r="I63" s="974">
        <f t="shared" si="27"/>
        <v>0</v>
      </c>
      <c r="J63" s="974">
        <f t="shared" si="27"/>
        <v>6775824</v>
      </c>
      <c r="K63" s="974">
        <f t="shared" si="27"/>
        <v>99998</v>
      </c>
      <c r="L63" s="974">
        <f t="shared" si="27"/>
        <v>0</v>
      </c>
      <c r="M63" s="974">
        <f t="shared" si="27"/>
        <v>0</v>
      </c>
      <c r="N63" s="974">
        <f t="shared" si="27"/>
        <v>0</v>
      </c>
    </row>
    <row r="64" spans="1:14" s="839" customFormat="1" ht="14" hidden="1">
      <c r="A64" s="967"/>
      <c r="B64" s="2745" t="s">
        <v>2568</v>
      </c>
      <c r="C64" s="2746"/>
      <c r="D64" s="968"/>
      <c r="E64" s="969"/>
      <c r="F64" s="970">
        <f>SUM(G64:N64)</f>
        <v>-50021</v>
      </c>
      <c r="G64" s="971">
        <f>IF($F$62=0,0,(IF(G62=0,INT(G63/$F63*$F62),0)))</f>
        <v>-11418</v>
      </c>
      <c r="H64" s="971">
        <f t="shared" ref="H64:N64" si="28">IF($F$62=0,0,(IF(H62=0,INT(H63/$F63*$F62),0)))</f>
        <v>0</v>
      </c>
      <c r="I64" s="971">
        <f t="shared" si="28"/>
        <v>0</v>
      </c>
      <c r="J64" s="971">
        <f t="shared" si="28"/>
        <v>-38041</v>
      </c>
      <c r="K64" s="971">
        <f t="shared" si="28"/>
        <v>-562</v>
      </c>
      <c r="L64" s="971">
        <f t="shared" si="28"/>
        <v>0</v>
      </c>
      <c r="M64" s="971">
        <f t="shared" si="28"/>
        <v>0</v>
      </c>
      <c r="N64" s="971">
        <f t="shared" si="28"/>
        <v>0</v>
      </c>
    </row>
    <row r="65" spans="1:14" s="839" customFormat="1" ht="14" hidden="1">
      <c r="A65" s="967"/>
      <c r="B65" s="2745" t="s">
        <v>2569</v>
      </c>
      <c r="C65" s="2746"/>
      <c r="D65" s="968"/>
      <c r="E65" s="969"/>
      <c r="F65" s="970">
        <f>F62-F64</f>
        <v>2</v>
      </c>
      <c r="G65" s="971">
        <f>IF($F65=0,0,IF(G64=0,0,$F65))</f>
        <v>2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IF($F65=0,0,IF(J64=0,0,IF(SUM($G65:I65)=0,$F65,0)))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IF($F65=0,0,IF(M64=0,0,IF(SUM($G65:L65)=0,$F65,0)))</f>
        <v>0</v>
      </c>
      <c r="N65" s="971">
        <f>IF($F65=0,0,IF(N64=0,0,IF(SUM($G65:M65)=0,$F65,0)))</f>
        <v>0</v>
      </c>
    </row>
    <row r="66" spans="1:14" s="2612" customFormat="1" ht="13.5" customHeight="1">
      <c r="A66" s="2607"/>
      <c r="B66" s="2763" t="s">
        <v>2570</v>
      </c>
      <c r="C66" s="2764"/>
      <c r="D66" s="2608"/>
      <c r="E66" s="2609"/>
      <c r="F66" s="2610">
        <f>SUM(G66:N66)</f>
        <v>656436</v>
      </c>
      <c r="G66" s="2611">
        <f>IF(G59="",IF(G14+G22=0,IF(G8=G84,0,G61+G64+G65),G61+G64+G65),G59)</f>
        <v>50358</v>
      </c>
      <c r="H66" s="2611">
        <f t="shared" ref="H66:N66" si="29">IF(H59="",IF(H14+H22=0,IF(H8=H84,0,H61+H64+H65),H61+H64+H65),H59)</f>
        <v>0</v>
      </c>
      <c r="I66" s="2611">
        <f t="shared" si="29"/>
        <v>0</v>
      </c>
      <c r="J66" s="2611">
        <f t="shared" si="29"/>
        <v>617817</v>
      </c>
      <c r="K66" s="2611">
        <f t="shared" si="29"/>
        <v>-11739</v>
      </c>
      <c r="L66" s="2611">
        <f t="shared" si="29"/>
        <v>0</v>
      </c>
      <c r="M66" s="2611">
        <f t="shared" si="29"/>
        <v>0</v>
      </c>
      <c r="N66" s="2611">
        <f t="shared" si="29"/>
        <v>0</v>
      </c>
    </row>
    <row r="67" spans="1:14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SUM(G67:N67)</f>
        <v>9565914</v>
      </c>
      <c r="G67" s="981">
        <f t="shared" ref="G67:N67" si="30">G13-G45+G66</f>
        <v>2084014</v>
      </c>
      <c r="H67" s="981">
        <f t="shared" si="30"/>
        <v>0</v>
      </c>
      <c r="I67" s="981">
        <f t="shared" si="30"/>
        <v>0</v>
      </c>
      <c r="J67" s="981">
        <f t="shared" si="30"/>
        <v>7393641</v>
      </c>
      <c r="K67" s="981">
        <f t="shared" si="30"/>
        <v>88259</v>
      </c>
      <c r="L67" s="981">
        <f t="shared" si="30"/>
        <v>0</v>
      </c>
      <c r="M67" s="981">
        <f t="shared" si="30"/>
        <v>0</v>
      </c>
      <c r="N67" s="981">
        <f t="shared" si="30"/>
        <v>0</v>
      </c>
    </row>
    <row r="68" spans="1:14" s="839" customFormat="1" ht="14">
      <c r="A68" s="982"/>
      <c r="B68" s="2765" t="s">
        <v>2573</v>
      </c>
      <c r="C68" s="276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1097593</v>
      </c>
      <c r="G69" s="992">
        <f>+G463-G248</f>
        <v>244329</v>
      </c>
      <c r="H69" s="992">
        <f t="shared" ref="H69:N69" si="31">+H463-H248</f>
        <v>-22386</v>
      </c>
      <c r="I69" s="992">
        <f t="shared" si="31"/>
        <v>-1827</v>
      </c>
      <c r="J69" s="992">
        <f t="shared" si="31"/>
        <v>873305</v>
      </c>
      <c r="K69" s="992">
        <f t="shared" si="31"/>
        <v>4172</v>
      </c>
      <c r="L69" s="992">
        <f>+L463-L248</f>
        <v>0</v>
      </c>
      <c r="M69" s="992">
        <f t="shared" si="31"/>
        <v>0</v>
      </c>
      <c r="N69" s="993">
        <f t="shared" si="31"/>
        <v>0</v>
      </c>
    </row>
    <row r="70" spans="1:14" s="839" customFormat="1" ht="13.5" hidden="1" customHeight="1">
      <c r="A70" s="967"/>
      <c r="B70" s="2745" t="s">
        <v>2566</v>
      </c>
      <c r="C70" s="2746"/>
      <c r="D70" s="968"/>
      <c r="E70" s="969"/>
      <c r="F70" s="970">
        <f>SUM(G70:N70)</f>
        <v>-24213</v>
      </c>
      <c r="G70" s="994">
        <f>IF(G67=0,G69,0)</f>
        <v>0</v>
      </c>
      <c r="H70" s="994">
        <f t="shared" ref="H70:N70" si="32">IF(H67=0,H69,0)</f>
        <v>-22386</v>
      </c>
      <c r="I70" s="994">
        <f t="shared" si="32"/>
        <v>-1827</v>
      </c>
      <c r="J70" s="994">
        <f t="shared" si="32"/>
        <v>0</v>
      </c>
      <c r="K70" s="994">
        <f>IF(K67=0,K69,0)</f>
        <v>0</v>
      </c>
      <c r="L70" s="994">
        <f t="shared" si="32"/>
        <v>0</v>
      </c>
      <c r="M70" s="994">
        <f t="shared" si="32"/>
        <v>0</v>
      </c>
      <c r="N70" s="994">
        <f t="shared" si="32"/>
        <v>0</v>
      </c>
    </row>
    <row r="71" spans="1:14" s="839" customFormat="1" ht="13.5" hidden="1" customHeight="1">
      <c r="A71" s="967"/>
      <c r="B71" s="2745" t="s">
        <v>2575</v>
      </c>
      <c r="C71" s="2746"/>
      <c r="D71" s="968"/>
      <c r="E71" s="969"/>
      <c r="F71" s="970">
        <f>SUM(G71:N71)</f>
        <v>9565914</v>
      </c>
      <c r="G71" s="995">
        <f>IF(G68=0,G67,G67-(G43+G44+G59))</f>
        <v>2084014</v>
      </c>
      <c r="H71" s="995">
        <f>IF(H68=0,H67,H67-(H43+H44+H59))</f>
        <v>0</v>
      </c>
      <c r="I71" s="995">
        <f t="shared" ref="I71:N71" si="33">IF(I68=0,I67,I67-(I43+I44+I59))</f>
        <v>0</v>
      </c>
      <c r="J71" s="995">
        <f t="shared" si="33"/>
        <v>7393641</v>
      </c>
      <c r="K71" s="995">
        <f t="shared" si="33"/>
        <v>88259</v>
      </c>
      <c r="L71" s="995">
        <f t="shared" si="33"/>
        <v>0</v>
      </c>
      <c r="M71" s="995">
        <f t="shared" si="33"/>
        <v>0</v>
      </c>
      <c r="N71" s="995">
        <f t="shared" si="33"/>
        <v>0</v>
      </c>
    </row>
    <row r="72" spans="1:14" s="839" customFormat="1" ht="13.5" hidden="1" customHeight="1">
      <c r="A72" s="967"/>
      <c r="B72" s="2745" t="s">
        <v>2576</v>
      </c>
      <c r="C72" s="2746"/>
      <c r="D72" s="968"/>
      <c r="E72" s="969"/>
      <c r="F72" s="970">
        <f>SUM(G72:N72)</f>
        <v>-24215</v>
      </c>
      <c r="G72" s="971">
        <f>IF($F$71=0,0,(INT(G71/$F71*$F70)))</f>
        <v>-5276</v>
      </c>
      <c r="H72" s="971">
        <f t="shared" ref="H72:N72" si="34">IF($F$71=0,0,(INT(H71/$F71*$F70)))</f>
        <v>0</v>
      </c>
      <c r="I72" s="971">
        <f t="shared" si="34"/>
        <v>0</v>
      </c>
      <c r="J72" s="971">
        <f t="shared" si="34"/>
        <v>-18715</v>
      </c>
      <c r="K72" s="971">
        <f t="shared" si="34"/>
        <v>-224</v>
      </c>
      <c r="L72" s="971">
        <f t="shared" si="34"/>
        <v>0</v>
      </c>
      <c r="M72" s="971">
        <f t="shared" si="34"/>
        <v>0</v>
      </c>
      <c r="N72" s="971">
        <f t="shared" si="34"/>
        <v>0</v>
      </c>
    </row>
    <row r="73" spans="1:14" s="839" customFormat="1" ht="13.5" hidden="1" customHeight="1">
      <c r="A73" s="967"/>
      <c r="B73" s="2745" t="s">
        <v>2577</v>
      </c>
      <c r="C73" s="2746"/>
      <c r="D73" s="968"/>
      <c r="E73" s="969"/>
      <c r="F73" s="970">
        <f>F70-F72</f>
        <v>2</v>
      </c>
      <c r="G73" s="971">
        <f>IF($F73=0,0,IF(G72=0,0,$F73))</f>
        <v>2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IF($F73=0,0,IF(J72=0,0,IF(SUM($G73:I73)=0,$F73,0)))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IF($F73=0,0,IF(M72=0,0,IF(SUM($G73:L73)=0,$F73,0)))</f>
        <v>0</v>
      </c>
      <c r="N73" s="971">
        <f>IF($F73=0,0,IF(N72=0,0,IF(SUM($G73:M73)=0,$F73,0)))</f>
        <v>0</v>
      </c>
    </row>
    <row r="74" spans="1:14" s="839" customFormat="1" ht="13.5" customHeight="1">
      <c r="A74" s="982"/>
      <c r="B74" s="996" t="s">
        <v>2578</v>
      </c>
      <c r="C74" s="997"/>
      <c r="D74" s="998"/>
      <c r="E74" s="999"/>
      <c r="F74" s="970">
        <f t="shared" ref="F74:F81" si="35">SUM(G74:N74)</f>
        <v>1097593</v>
      </c>
      <c r="G74" s="975">
        <f>IF(G67=0,0,G69+G72+G73)</f>
        <v>239055</v>
      </c>
      <c r="H74" s="975">
        <f t="shared" ref="H74:N74" si="36">IF(H67=0,0,H69+H72+H73)</f>
        <v>0</v>
      </c>
      <c r="I74" s="975">
        <f t="shared" si="36"/>
        <v>0</v>
      </c>
      <c r="J74" s="975">
        <f t="shared" si="36"/>
        <v>854590</v>
      </c>
      <c r="K74" s="975">
        <f t="shared" si="36"/>
        <v>3948</v>
      </c>
      <c r="L74" s="975">
        <f t="shared" si="36"/>
        <v>0</v>
      </c>
      <c r="M74" s="975">
        <f t="shared" si="36"/>
        <v>0</v>
      </c>
      <c r="N74" s="975">
        <f t="shared" si="36"/>
        <v>0</v>
      </c>
    </row>
    <row r="75" spans="1:14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35"/>
        <v>10663507</v>
      </c>
      <c r="G75" s="1006">
        <f>+G13+G66+G74</f>
        <v>2323069</v>
      </c>
      <c r="H75" s="1006">
        <f t="shared" ref="H75:N75" si="37">+H13+H66+H74</f>
        <v>0</v>
      </c>
      <c r="I75" s="1006">
        <f t="shared" si="37"/>
        <v>0</v>
      </c>
      <c r="J75" s="1006">
        <f t="shared" si="37"/>
        <v>8248231</v>
      </c>
      <c r="K75" s="1006">
        <f t="shared" si="37"/>
        <v>92207</v>
      </c>
      <c r="L75" s="1006">
        <f t="shared" si="37"/>
        <v>0</v>
      </c>
      <c r="M75" s="1006">
        <f t="shared" si="37"/>
        <v>0</v>
      </c>
      <c r="N75" s="1006">
        <f t="shared" si="37"/>
        <v>0</v>
      </c>
    </row>
    <row r="76" spans="1:14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35"/>
        <v>10663000</v>
      </c>
      <c r="G76" s="1011">
        <f>IF(G75&lt;0,ROUNDUP(G75,-3),ROUNDDOWN(G75,-3))</f>
        <v>2323000</v>
      </c>
      <c r="H76" s="1011">
        <f t="shared" ref="H76:N76" si="38">IF(H75&lt;0,ROUNDUP(H75,-3),ROUNDDOWN(H75,-3))</f>
        <v>0</v>
      </c>
      <c r="I76" s="1011">
        <f t="shared" si="38"/>
        <v>0</v>
      </c>
      <c r="J76" s="1011">
        <f t="shared" si="38"/>
        <v>8248000</v>
      </c>
      <c r="K76" s="1011">
        <f t="shared" si="38"/>
        <v>92000</v>
      </c>
      <c r="L76" s="1011">
        <f t="shared" si="38"/>
        <v>0</v>
      </c>
      <c r="M76" s="1011">
        <f t="shared" si="38"/>
        <v>0</v>
      </c>
      <c r="N76" s="1012">
        <f t="shared" si="38"/>
        <v>0</v>
      </c>
    </row>
    <row r="77" spans="1:14" s="839" customFormat="1" ht="13.5" customHeight="1">
      <c r="A77" s="1013"/>
      <c r="B77" s="2760" t="s">
        <v>2581</v>
      </c>
      <c r="C77" s="1014" t="s">
        <v>2582</v>
      </c>
      <c r="D77" s="1014"/>
      <c r="E77" s="1014"/>
      <c r="F77" s="1015">
        <f t="shared" si="35"/>
        <v>8909478</v>
      </c>
      <c r="G77" s="1016">
        <f t="shared" ref="G77:N77" si="39">+G13</f>
        <v>2033656</v>
      </c>
      <c r="H77" s="1016">
        <f t="shared" si="39"/>
        <v>0</v>
      </c>
      <c r="I77" s="1016">
        <f t="shared" si="39"/>
        <v>0</v>
      </c>
      <c r="J77" s="1016">
        <f t="shared" si="39"/>
        <v>6775824</v>
      </c>
      <c r="K77" s="1016">
        <f t="shared" si="39"/>
        <v>99998</v>
      </c>
      <c r="L77" s="1016">
        <f t="shared" si="39"/>
        <v>0</v>
      </c>
      <c r="M77" s="1016">
        <f t="shared" si="39"/>
        <v>0</v>
      </c>
      <c r="N77" s="1017">
        <f t="shared" si="39"/>
        <v>0</v>
      </c>
    </row>
    <row r="78" spans="1:14" s="839" customFormat="1" ht="13.5" customHeight="1" thickBot="1">
      <c r="A78" s="1018"/>
      <c r="B78" s="2761"/>
      <c r="C78" s="1019" t="s">
        <v>2583</v>
      </c>
      <c r="D78" s="1019"/>
      <c r="E78" s="1019"/>
      <c r="F78" s="1020">
        <f t="shared" si="35"/>
        <v>1753522</v>
      </c>
      <c r="G78" s="1021">
        <f>+G76-G77</f>
        <v>289344</v>
      </c>
      <c r="H78" s="1021">
        <f t="shared" ref="H78:N78" si="40">+H76-H77</f>
        <v>0</v>
      </c>
      <c r="I78" s="1021">
        <f t="shared" si="40"/>
        <v>0</v>
      </c>
      <c r="J78" s="1021">
        <f t="shared" si="40"/>
        <v>1472176</v>
      </c>
      <c r="K78" s="1021">
        <f t="shared" si="40"/>
        <v>-7998</v>
      </c>
      <c r="L78" s="1021">
        <f t="shared" si="40"/>
        <v>0</v>
      </c>
      <c r="M78" s="1021">
        <f t="shared" si="40"/>
        <v>0</v>
      </c>
      <c r="N78" s="1022">
        <f t="shared" si="40"/>
        <v>0</v>
      </c>
    </row>
    <row r="79" spans="1:14" s="839" customFormat="1" ht="13.5" customHeight="1" thickTop="1">
      <c r="A79" s="1007" t="s">
        <v>2584</v>
      </c>
      <c r="B79" s="1008"/>
      <c r="C79" s="1008"/>
      <c r="D79" s="1008"/>
      <c r="E79" s="1009" t="s">
        <v>2580</v>
      </c>
      <c r="F79" s="1010">
        <f t="shared" si="35"/>
        <v>7929000</v>
      </c>
      <c r="G79" s="1011">
        <f t="shared" ref="G79:N79" si="41">IF(G75&lt;0,ROUNDUP(G75*$G$2,-3),ROUNDDOWN(G75*$G$2,-3))</f>
        <v>1727000</v>
      </c>
      <c r="H79" s="1011">
        <f t="shared" si="41"/>
        <v>0</v>
      </c>
      <c r="I79" s="1011">
        <f t="shared" si="41"/>
        <v>0</v>
      </c>
      <c r="J79" s="1011">
        <f t="shared" si="41"/>
        <v>6134000</v>
      </c>
      <c r="K79" s="1011">
        <f t="shared" si="41"/>
        <v>68000</v>
      </c>
      <c r="L79" s="1011">
        <f t="shared" si="41"/>
        <v>0</v>
      </c>
      <c r="M79" s="1011">
        <f t="shared" si="41"/>
        <v>0</v>
      </c>
      <c r="N79" s="1012">
        <f t="shared" si="41"/>
        <v>0</v>
      </c>
    </row>
    <row r="80" spans="1:14" s="839" customFormat="1" ht="13.5" customHeight="1">
      <c r="A80" s="1013"/>
      <c r="B80" s="2760" t="s">
        <v>2581</v>
      </c>
      <c r="C80" s="1014" t="s">
        <v>2582</v>
      </c>
      <c r="D80" s="1014"/>
      <c r="E80" s="1014"/>
      <c r="F80" s="1015">
        <f t="shared" si="35"/>
        <v>6625980</v>
      </c>
      <c r="G80" s="1016">
        <f t="shared" ref="G80:N80" si="42">IF(G77&lt;0,ROUNDDOWN(G77*$G$2,0),ROUNDUP(G77*$G$2,0))</f>
        <v>1512430</v>
      </c>
      <c r="H80" s="1016">
        <f t="shared" si="42"/>
        <v>0</v>
      </c>
      <c r="I80" s="1016">
        <f t="shared" si="42"/>
        <v>0</v>
      </c>
      <c r="J80" s="1016">
        <f t="shared" si="42"/>
        <v>5039181</v>
      </c>
      <c r="K80" s="1016">
        <f t="shared" si="42"/>
        <v>74369</v>
      </c>
      <c r="L80" s="1016">
        <f t="shared" si="42"/>
        <v>0</v>
      </c>
      <c r="M80" s="1016">
        <f t="shared" si="42"/>
        <v>0</v>
      </c>
      <c r="N80" s="1017">
        <f t="shared" si="42"/>
        <v>0</v>
      </c>
    </row>
    <row r="81" spans="1:14" s="839" customFormat="1" ht="13.5" customHeight="1">
      <c r="A81" s="1018"/>
      <c r="B81" s="2762"/>
      <c r="C81" s="1019" t="s">
        <v>2583</v>
      </c>
      <c r="D81" s="1019"/>
      <c r="E81" s="1019"/>
      <c r="F81" s="1020">
        <f t="shared" si="35"/>
        <v>1303020</v>
      </c>
      <c r="G81" s="1021">
        <f t="shared" ref="G81:N81" si="43">+G79-G80</f>
        <v>214570</v>
      </c>
      <c r="H81" s="1021">
        <f t="shared" si="43"/>
        <v>0</v>
      </c>
      <c r="I81" s="1021">
        <f t="shared" si="43"/>
        <v>0</v>
      </c>
      <c r="J81" s="1021">
        <f t="shared" si="43"/>
        <v>1094819</v>
      </c>
      <c r="K81" s="1021">
        <f t="shared" si="43"/>
        <v>-6369</v>
      </c>
      <c r="L81" s="1021">
        <f t="shared" si="43"/>
        <v>0</v>
      </c>
      <c r="M81" s="1021">
        <f t="shared" si="43"/>
        <v>0</v>
      </c>
      <c r="N81" s="1022">
        <f t="shared" si="43"/>
        <v>0</v>
      </c>
    </row>
    <row r="82" spans="1:14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ア）東梅田駅</v>
      </c>
      <c r="G82" s="1028"/>
      <c r="H82" s="1029"/>
      <c r="I82" s="1030"/>
      <c r="J82" s="837"/>
      <c r="K82" s="837"/>
      <c r="L82" s="837"/>
      <c r="M82" s="837"/>
      <c r="N82" s="838" t="s">
        <v>2585</v>
      </c>
    </row>
    <row r="83" spans="1:14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4"/>
      <c r="N83" s="1038"/>
    </row>
    <row r="84" spans="1:14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>
        <v>16.600000000000001</v>
      </c>
      <c r="K84" s="1039">
        <v>16.600000000000001</v>
      </c>
      <c r="L84" s="1039"/>
      <c r="M84" s="1039"/>
      <c r="N84" s="1040"/>
    </row>
    <row r="85" spans="1:14" s="878" customFormat="1" ht="13.5" customHeight="1">
      <c r="A85" s="1285"/>
      <c r="B85" s="1286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 t="s">
        <v>2947</v>
      </c>
      <c r="K85" s="1041" t="s">
        <v>2947</v>
      </c>
      <c r="L85" s="1041"/>
      <c r="M85" s="1041"/>
      <c r="N85" s="1042"/>
    </row>
    <row r="86" spans="1:14" s="889" customFormat="1" ht="13.5" customHeight="1">
      <c r="A86" s="1285"/>
      <c r="B86" s="1286"/>
      <c r="C86" s="1286" t="s">
        <v>2590</v>
      </c>
      <c r="D86" s="1286"/>
      <c r="E86" s="1043" t="s">
        <v>2596</v>
      </c>
      <c r="F86" s="1044" t="s">
        <v>2505</v>
      </c>
      <c r="G86" s="1045" t="s">
        <v>2948</v>
      </c>
      <c r="H86" s="1045" t="s">
        <v>2949</v>
      </c>
      <c r="I86" s="1045" t="s">
        <v>2950</v>
      </c>
      <c r="J86" s="1045" t="s">
        <v>2951</v>
      </c>
      <c r="K86" s="1045" t="s">
        <v>2952</v>
      </c>
      <c r="L86" s="1045"/>
      <c r="M86" s="1045"/>
      <c r="N86" s="1046"/>
    </row>
    <row r="87" spans="1:14" s="889" customFormat="1" ht="13.5" customHeight="1">
      <c r="A87" s="1285"/>
      <c r="B87" s="1286"/>
      <c r="C87" s="1286" t="s">
        <v>2592</v>
      </c>
      <c r="D87" s="1286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2955</v>
      </c>
      <c r="J87" s="1048" t="s">
        <v>2956</v>
      </c>
      <c r="K87" s="1048" t="s">
        <v>2957</v>
      </c>
      <c r="L87" s="1048"/>
      <c r="M87" s="1048"/>
      <c r="N87" s="1049"/>
    </row>
    <row r="88" spans="1:14" s="889" customFormat="1" ht="13.5" customHeight="1">
      <c r="A88" s="2734" t="s">
        <v>2513</v>
      </c>
      <c r="B88" s="2735"/>
      <c r="C88" s="2735"/>
      <c r="D88" s="2735"/>
      <c r="E88" s="2735"/>
      <c r="F88" s="2736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1" t="s">
        <v>2594</v>
      </c>
    </row>
    <row r="89" spans="1:14" s="889" customFormat="1" ht="30" customHeight="1">
      <c r="A89" s="2747" t="s">
        <v>2514</v>
      </c>
      <c r="B89" s="2748"/>
      <c r="C89" s="2748"/>
      <c r="D89" s="2748"/>
      <c r="E89" s="2748"/>
      <c r="F89" s="2749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1" t="s">
        <v>2595</v>
      </c>
    </row>
    <row r="90" spans="1:14" s="889" customFormat="1" ht="30" customHeight="1">
      <c r="A90" s="2750" t="s">
        <v>2515</v>
      </c>
      <c r="B90" s="2751"/>
      <c r="C90" s="2751"/>
      <c r="D90" s="2751"/>
      <c r="E90" s="2751"/>
      <c r="F90" s="2752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3" t="s">
        <v>2596</v>
      </c>
    </row>
    <row r="91" spans="1:14" s="889" customFormat="1" ht="13.5" customHeight="1">
      <c r="A91" s="870"/>
      <c r="B91" s="894" t="s">
        <v>2597</v>
      </c>
      <c r="C91" s="895"/>
      <c r="D91" s="895"/>
      <c r="E91" s="896"/>
      <c r="F91" s="897">
        <f>SUM(G91:N91)</f>
        <v>176014078</v>
      </c>
      <c r="G91" s="898">
        <f>+G92+G96</f>
        <v>33425885</v>
      </c>
      <c r="H91" s="898">
        <f>+H92+H96</f>
        <v>22318883</v>
      </c>
      <c r="I91" s="898">
        <f t="shared" ref="I91:N91" si="44">+I92+I96</f>
        <v>2131661</v>
      </c>
      <c r="J91" s="898">
        <f>+J92+J96</f>
        <v>107929486</v>
      </c>
      <c r="K91" s="898">
        <f>+K92+K96</f>
        <v>10208163</v>
      </c>
      <c r="L91" s="898">
        <f t="shared" si="44"/>
        <v>0</v>
      </c>
      <c r="M91" s="898">
        <f t="shared" si="44"/>
        <v>0</v>
      </c>
      <c r="N91" s="899">
        <f t="shared" si="44"/>
        <v>0</v>
      </c>
    </row>
    <row r="92" spans="1:14" s="889" customFormat="1" ht="13.5" customHeight="1">
      <c r="A92" s="1285"/>
      <c r="B92" s="1286"/>
      <c r="C92" s="691" t="s">
        <v>2517</v>
      </c>
      <c r="D92" s="692"/>
      <c r="E92" s="874"/>
      <c r="F92" s="900">
        <f>SUM(G92:N92)</f>
        <v>165827470</v>
      </c>
      <c r="G92" s="1052">
        <v>29215287</v>
      </c>
      <c r="H92" s="1052">
        <v>21555646</v>
      </c>
      <c r="I92" s="1052">
        <v>2052481</v>
      </c>
      <c r="J92" s="1052">
        <v>103212496</v>
      </c>
      <c r="K92" s="1052">
        <v>9791560</v>
      </c>
      <c r="L92" s="1052"/>
      <c r="M92" s="1052"/>
      <c r="N92" s="1053"/>
    </row>
    <row r="93" spans="1:14" s="889" customFormat="1" ht="13.5" customHeight="1">
      <c r="A93" s="1285"/>
      <c r="B93" s="1286"/>
      <c r="C93" s="1054"/>
      <c r="D93" s="1054"/>
      <c r="E93" s="903"/>
      <c r="F93" s="904" t="s">
        <v>2598</v>
      </c>
      <c r="G93" s="905">
        <f>SUM(G185:G194)</f>
        <v>3455824</v>
      </c>
      <c r="H93" s="905">
        <f t="shared" ref="H93:N93" si="45">SUM(H185:H194)</f>
        <v>10832</v>
      </c>
      <c r="I93" s="905">
        <f t="shared" si="45"/>
        <v>342973</v>
      </c>
      <c r="J93" s="905">
        <f>SUM(J185:J194)</f>
        <v>1481506</v>
      </c>
      <c r="K93" s="905">
        <f>SUM(K185:K194)</f>
        <v>403697</v>
      </c>
      <c r="L93" s="905">
        <f t="shared" si="45"/>
        <v>0</v>
      </c>
      <c r="M93" s="905">
        <f t="shared" si="45"/>
        <v>0</v>
      </c>
      <c r="N93" s="906">
        <f t="shared" si="45"/>
        <v>0</v>
      </c>
    </row>
    <row r="94" spans="1:14" s="889" customFormat="1" ht="13.5" customHeight="1">
      <c r="A94" s="1285"/>
      <c r="B94" s="1286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N94" si="46">SUM(H232:H234)</f>
        <v>0</v>
      </c>
      <c r="I94" s="905">
        <f t="shared" si="46"/>
        <v>0</v>
      </c>
      <c r="J94" s="905">
        <f>SUM(J232:J234)</f>
        <v>0</v>
      </c>
      <c r="K94" s="905">
        <f>SUM(K232:K234)</f>
        <v>0</v>
      </c>
      <c r="L94" s="905">
        <f t="shared" si="46"/>
        <v>0</v>
      </c>
      <c r="M94" s="905">
        <f t="shared" si="46"/>
        <v>0</v>
      </c>
      <c r="N94" s="906">
        <f t="shared" si="46"/>
        <v>0</v>
      </c>
    </row>
    <row r="95" spans="1:14" s="889" customFormat="1" ht="13.5" customHeight="1">
      <c r="A95" s="1285"/>
      <c r="B95" s="1286"/>
      <c r="C95" s="1054"/>
      <c r="D95" s="1054"/>
      <c r="E95" s="903"/>
      <c r="F95" s="1055" t="s">
        <v>2600</v>
      </c>
      <c r="G95" s="905">
        <f>+G134</f>
        <v>0</v>
      </c>
      <c r="H95" s="905">
        <f t="shared" ref="H95:N95" si="47">+H134</f>
        <v>0</v>
      </c>
      <c r="I95" s="905">
        <f t="shared" si="47"/>
        <v>0</v>
      </c>
      <c r="J95" s="905">
        <f t="shared" si="47"/>
        <v>0</v>
      </c>
      <c r="K95" s="905">
        <f>+K134</f>
        <v>0</v>
      </c>
      <c r="L95" s="905">
        <f t="shared" si="47"/>
        <v>0</v>
      </c>
      <c r="M95" s="905">
        <f t="shared" si="47"/>
        <v>0</v>
      </c>
      <c r="N95" s="906">
        <f t="shared" si="47"/>
        <v>0</v>
      </c>
    </row>
    <row r="96" spans="1:14" s="889" customFormat="1" ht="13.5" customHeight="1">
      <c r="A96" s="1285"/>
      <c r="B96" s="1286"/>
      <c r="C96" s="698" t="s">
        <v>2518</v>
      </c>
      <c r="D96" s="698"/>
      <c r="E96" s="903"/>
      <c r="F96" s="904">
        <f t="shared" ref="F96:F113" si="48">SUM(G96:N96)</f>
        <v>10186608</v>
      </c>
      <c r="G96" s="905">
        <f>G97+G98</f>
        <v>4210598</v>
      </c>
      <c r="H96" s="905">
        <f t="shared" ref="H96:N96" si="49">H97+H98</f>
        <v>763237</v>
      </c>
      <c r="I96" s="905">
        <f t="shared" si="49"/>
        <v>79180</v>
      </c>
      <c r="J96" s="905">
        <f t="shared" si="49"/>
        <v>4716990</v>
      </c>
      <c r="K96" s="905">
        <f>K97+K98</f>
        <v>416603</v>
      </c>
      <c r="L96" s="905">
        <f t="shared" si="49"/>
        <v>0</v>
      </c>
      <c r="M96" s="905">
        <f t="shared" si="49"/>
        <v>0</v>
      </c>
      <c r="N96" s="906">
        <f t="shared" si="49"/>
        <v>0</v>
      </c>
    </row>
    <row r="97" spans="1:14" s="889" customFormat="1" ht="13.5" customHeight="1">
      <c r="A97" s="1285"/>
      <c r="B97" s="1286"/>
      <c r="C97" s="907" t="s">
        <v>2519</v>
      </c>
      <c r="D97" s="698"/>
      <c r="E97" s="903"/>
      <c r="F97" s="904">
        <f t="shared" si="48"/>
        <v>5168436</v>
      </c>
      <c r="G97" s="905">
        <f t="shared" ref="G97:N97" si="50">IF(G88="積上げ",0,G174)</f>
        <v>869163</v>
      </c>
      <c r="H97" s="905">
        <f t="shared" si="50"/>
        <v>624799</v>
      </c>
      <c r="I97" s="905">
        <f t="shared" si="50"/>
        <v>58877</v>
      </c>
      <c r="J97" s="905">
        <f t="shared" si="50"/>
        <v>3307304</v>
      </c>
      <c r="K97" s="905">
        <f t="shared" si="50"/>
        <v>308293</v>
      </c>
      <c r="L97" s="905">
        <f t="shared" si="50"/>
        <v>0</v>
      </c>
      <c r="M97" s="905">
        <f t="shared" si="50"/>
        <v>0</v>
      </c>
      <c r="N97" s="906">
        <f t="shared" si="50"/>
        <v>0</v>
      </c>
    </row>
    <row r="98" spans="1:14" s="889" customFormat="1" ht="13.5" customHeight="1">
      <c r="A98" s="1285"/>
      <c r="B98" s="1286"/>
      <c r="C98" s="907" t="s">
        <v>2525</v>
      </c>
      <c r="D98" s="698"/>
      <c r="E98" s="903"/>
      <c r="F98" s="904">
        <f t="shared" si="48"/>
        <v>5018172</v>
      </c>
      <c r="G98" s="1056">
        <v>3341435</v>
      </c>
      <c r="H98" s="1056">
        <v>138438</v>
      </c>
      <c r="I98" s="1056">
        <v>20303</v>
      </c>
      <c r="J98" s="1056">
        <v>1409686</v>
      </c>
      <c r="K98" s="1056">
        <v>108310</v>
      </c>
      <c r="L98" s="1056"/>
      <c r="M98" s="1056"/>
      <c r="N98" s="1057"/>
    </row>
    <row r="99" spans="1:14" s="889" customFormat="1" ht="13.5" customHeight="1">
      <c r="A99" s="1285"/>
      <c r="B99" s="1286"/>
      <c r="C99" s="915" t="s">
        <v>2526</v>
      </c>
      <c r="D99" s="698"/>
      <c r="E99" s="903"/>
      <c r="F99" s="904">
        <f t="shared" si="48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9" customFormat="1" ht="13.5" customHeight="1">
      <c r="A100" s="1285"/>
      <c r="B100" s="1286"/>
      <c r="C100" s="916" t="s">
        <v>2527</v>
      </c>
      <c r="D100" s="917"/>
      <c r="E100" s="918"/>
      <c r="F100" s="919">
        <f t="shared" si="48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48"/>
        <v>0</v>
      </c>
      <c r="G101" s="1064">
        <f>+G135</f>
        <v>0</v>
      </c>
      <c r="H101" s="1064">
        <f t="shared" ref="H101:N101" si="51">+H135</f>
        <v>0</v>
      </c>
      <c r="I101" s="1064">
        <f t="shared" si="51"/>
        <v>0</v>
      </c>
      <c r="J101" s="1064">
        <f t="shared" si="51"/>
        <v>0</v>
      </c>
      <c r="K101" s="1064">
        <f>+K135</f>
        <v>0</v>
      </c>
      <c r="L101" s="1064">
        <f t="shared" si="51"/>
        <v>0</v>
      </c>
      <c r="M101" s="1064">
        <f t="shared" si="51"/>
        <v>0</v>
      </c>
      <c r="N101" s="1065">
        <f t="shared" si="51"/>
        <v>0</v>
      </c>
    </row>
    <row r="102" spans="1:14" s="889" customFormat="1" ht="13.5" customHeight="1">
      <c r="A102" s="1285"/>
      <c r="B102" s="917" t="s">
        <v>2602</v>
      </c>
      <c r="C102" s="917"/>
      <c r="D102" s="917"/>
      <c r="E102" s="918"/>
      <c r="F102" s="919">
        <f t="shared" si="48"/>
        <v>45285922</v>
      </c>
      <c r="G102" s="1066">
        <f>G103+G108</f>
        <v>8416115</v>
      </c>
      <c r="H102" s="1066">
        <f t="shared" ref="H102:N102" si="52">H103+H108</f>
        <v>5433117</v>
      </c>
      <c r="I102" s="1066">
        <f t="shared" si="52"/>
        <v>522339</v>
      </c>
      <c r="J102" s="1066">
        <f t="shared" si="52"/>
        <v>28269514</v>
      </c>
      <c r="K102" s="1066">
        <f>K103+K108</f>
        <v>2644837</v>
      </c>
      <c r="L102" s="1066">
        <f t="shared" si="52"/>
        <v>0</v>
      </c>
      <c r="M102" s="1066">
        <f t="shared" si="52"/>
        <v>0</v>
      </c>
      <c r="N102" s="1067">
        <f t="shared" si="52"/>
        <v>0</v>
      </c>
    </row>
    <row r="103" spans="1:14" s="889" customFormat="1" ht="13.5" customHeight="1">
      <c r="A103" s="1285"/>
      <c r="B103" s="1286"/>
      <c r="C103" s="691" t="s">
        <v>2603</v>
      </c>
      <c r="D103" s="691"/>
      <c r="E103" s="875"/>
      <c r="F103" s="900">
        <f t="shared" si="48"/>
        <v>20162722</v>
      </c>
      <c r="G103" s="1068">
        <f>G104+G107</f>
        <v>3667017</v>
      </c>
      <c r="H103" s="1068">
        <f t="shared" ref="H103:N103" si="53">H104+H107</f>
        <v>2282113</v>
      </c>
      <c r="I103" s="1068">
        <f t="shared" si="53"/>
        <v>221648</v>
      </c>
      <c r="J103" s="1068">
        <f t="shared" si="53"/>
        <v>12806355</v>
      </c>
      <c r="K103" s="1068">
        <f>K104+K107</f>
        <v>1185589</v>
      </c>
      <c r="L103" s="1068">
        <f t="shared" si="53"/>
        <v>0</v>
      </c>
      <c r="M103" s="1068">
        <f t="shared" si="53"/>
        <v>0</v>
      </c>
      <c r="N103" s="1069">
        <f t="shared" si="53"/>
        <v>0</v>
      </c>
    </row>
    <row r="104" spans="1:14" s="889" customFormat="1" ht="13.5" customHeight="1">
      <c r="A104" s="1285"/>
      <c r="B104" s="1286"/>
      <c r="C104" s="1070" t="s">
        <v>2604</v>
      </c>
      <c r="D104" s="1070"/>
      <c r="E104" s="884"/>
      <c r="F104" s="904">
        <f t="shared" si="48"/>
        <v>20162722</v>
      </c>
      <c r="G104" s="1071">
        <f>SUM(G105:G106)-G107</f>
        <v>3667017</v>
      </c>
      <c r="H104" s="1071">
        <f t="shared" ref="H104:N104" si="54">SUM(H105:H106)-H107</f>
        <v>2282113</v>
      </c>
      <c r="I104" s="1071">
        <f t="shared" si="54"/>
        <v>221648</v>
      </c>
      <c r="J104" s="1071">
        <f t="shared" si="54"/>
        <v>12806355</v>
      </c>
      <c r="K104" s="1071">
        <f>SUM(K105:K106)-K107</f>
        <v>1185589</v>
      </c>
      <c r="L104" s="1071">
        <f t="shared" si="54"/>
        <v>0</v>
      </c>
      <c r="M104" s="1071">
        <f t="shared" si="54"/>
        <v>0</v>
      </c>
      <c r="N104" s="1072">
        <f t="shared" si="54"/>
        <v>0</v>
      </c>
    </row>
    <row r="105" spans="1:14" s="889" customFormat="1" ht="13.5" customHeight="1">
      <c r="A105" s="1285"/>
      <c r="B105" s="1286"/>
      <c r="C105" s="1073" t="s">
        <v>2605</v>
      </c>
      <c r="D105" s="1073"/>
      <c r="E105" s="903"/>
      <c r="F105" s="904">
        <f t="shared" si="48"/>
        <v>20058256</v>
      </c>
      <c r="G105" s="905">
        <f>SUM(G200:G202)+G198</f>
        <v>3599404</v>
      </c>
      <c r="H105" s="905">
        <f t="shared" ref="H105:N105" si="55">SUM(H200:H202)+H198</f>
        <v>2282113</v>
      </c>
      <c r="I105" s="905">
        <f t="shared" si="55"/>
        <v>214821</v>
      </c>
      <c r="J105" s="905">
        <f t="shared" si="55"/>
        <v>12784402</v>
      </c>
      <c r="K105" s="905">
        <f>SUM(K200:K202)+K198</f>
        <v>1177516</v>
      </c>
      <c r="L105" s="905">
        <f t="shared" si="55"/>
        <v>0</v>
      </c>
      <c r="M105" s="905">
        <f t="shared" si="55"/>
        <v>0</v>
      </c>
      <c r="N105" s="906">
        <f t="shared" si="55"/>
        <v>0</v>
      </c>
    </row>
    <row r="106" spans="1:14" s="889" customFormat="1" ht="13.5" customHeight="1">
      <c r="A106" s="1285"/>
      <c r="B106" s="1286"/>
      <c r="C106" s="1073" t="s">
        <v>2606</v>
      </c>
      <c r="D106" s="1073"/>
      <c r="E106" s="903"/>
      <c r="F106" s="904">
        <f t="shared" si="48"/>
        <v>104466</v>
      </c>
      <c r="G106" s="905">
        <f>SUM(G203:G214)</f>
        <v>67613</v>
      </c>
      <c r="H106" s="905">
        <f t="shared" ref="H106:N106" si="56">SUM(H203:H214)</f>
        <v>0</v>
      </c>
      <c r="I106" s="905">
        <f t="shared" si="56"/>
        <v>6827</v>
      </c>
      <c r="J106" s="905">
        <f>SUM(J203:J214)</f>
        <v>21953</v>
      </c>
      <c r="K106" s="905">
        <f>SUM(K203:K214)</f>
        <v>8073</v>
      </c>
      <c r="L106" s="905">
        <f t="shared" si="56"/>
        <v>0</v>
      </c>
      <c r="M106" s="905">
        <f t="shared" si="56"/>
        <v>0</v>
      </c>
      <c r="N106" s="906">
        <f t="shared" si="56"/>
        <v>0</v>
      </c>
    </row>
    <row r="107" spans="1:14" s="889" customFormat="1" ht="13.5" customHeight="1">
      <c r="A107" s="1285"/>
      <c r="B107" s="1286"/>
      <c r="C107" s="1073" t="s">
        <v>2607</v>
      </c>
      <c r="D107" s="1073"/>
      <c r="E107" s="903"/>
      <c r="F107" s="904">
        <f t="shared" si="48"/>
        <v>0</v>
      </c>
      <c r="G107" s="905">
        <f>+G212</f>
        <v>0</v>
      </c>
      <c r="H107" s="905">
        <f t="shared" ref="H107:N107" si="57">+H212</f>
        <v>0</v>
      </c>
      <c r="I107" s="905">
        <f t="shared" si="57"/>
        <v>0</v>
      </c>
      <c r="J107" s="905">
        <f t="shared" si="57"/>
        <v>0</v>
      </c>
      <c r="K107" s="905">
        <f>+K212</f>
        <v>0</v>
      </c>
      <c r="L107" s="905">
        <f t="shared" si="57"/>
        <v>0</v>
      </c>
      <c r="M107" s="905">
        <f t="shared" si="57"/>
        <v>0</v>
      </c>
      <c r="N107" s="906">
        <f t="shared" si="57"/>
        <v>0</v>
      </c>
    </row>
    <row r="108" spans="1:14" s="889" customFormat="1" ht="13.5" customHeight="1">
      <c r="A108" s="1285"/>
      <c r="B108" s="1286"/>
      <c r="C108" s="698" t="s">
        <v>2608</v>
      </c>
      <c r="D108" s="698"/>
      <c r="E108" s="903"/>
      <c r="F108" s="904">
        <f t="shared" si="48"/>
        <v>25123200</v>
      </c>
      <c r="G108" s="905">
        <f>SUM(G109:G112)</f>
        <v>4749098</v>
      </c>
      <c r="H108" s="905">
        <f t="shared" ref="H108:N108" si="58">SUM(H109:H112)</f>
        <v>3151004</v>
      </c>
      <c r="I108" s="905">
        <f t="shared" si="58"/>
        <v>300691</v>
      </c>
      <c r="J108" s="905">
        <f t="shared" si="58"/>
        <v>15463159</v>
      </c>
      <c r="K108" s="905">
        <f t="shared" si="58"/>
        <v>1459248</v>
      </c>
      <c r="L108" s="905">
        <f t="shared" si="58"/>
        <v>0</v>
      </c>
      <c r="M108" s="905">
        <f t="shared" si="58"/>
        <v>0</v>
      </c>
      <c r="N108" s="906">
        <f t="shared" si="58"/>
        <v>0</v>
      </c>
    </row>
    <row r="109" spans="1:14" s="889" customFormat="1" ht="13.5" customHeight="1">
      <c r="A109" s="1285"/>
      <c r="B109" s="1286"/>
      <c r="C109" s="1073" t="s">
        <v>2605</v>
      </c>
      <c r="D109" s="1073"/>
      <c r="E109" s="903"/>
      <c r="F109" s="1074">
        <f t="shared" si="48"/>
        <v>23850014</v>
      </c>
      <c r="G109" s="905">
        <f>IF(G237=0,0,+G237-G254)</f>
        <v>4508365</v>
      </c>
      <c r="H109" s="905">
        <f t="shared" ref="H109:N109" si="59">IF(H237=0,0,+H237-H254)</f>
        <v>2991344</v>
      </c>
      <c r="I109" s="905">
        <f t="shared" si="59"/>
        <v>285418</v>
      </c>
      <c r="J109" s="905">
        <f t="shared" si="59"/>
        <v>14679584</v>
      </c>
      <c r="K109" s="905">
        <f t="shared" si="59"/>
        <v>1385303</v>
      </c>
      <c r="L109" s="905">
        <f t="shared" si="59"/>
        <v>0</v>
      </c>
      <c r="M109" s="905">
        <f t="shared" si="59"/>
        <v>0</v>
      </c>
      <c r="N109" s="906">
        <f t="shared" si="59"/>
        <v>0</v>
      </c>
    </row>
    <row r="110" spans="1:14" s="889" customFormat="1" ht="13.5" customHeight="1">
      <c r="A110" s="1285"/>
      <c r="B110" s="1286"/>
      <c r="C110" s="1073" t="s">
        <v>2609</v>
      </c>
      <c r="D110" s="1073"/>
      <c r="E110" s="903"/>
      <c r="F110" s="904">
        <f t="shared" si="48"/>
        <v>1273186</v>
      </c>
      <c r="G110" s="905">
        <f>+G238+G239</f>
        <v>240733</v>
      </c>
      <c r="H110" s="905">
        <f t="shared" ref="H110:N110" si="60">+H238+H239</f>
        <v>159660</v>
      </c>
      <c r="I110" s="905">
        <f t="shared" si="60"/>
        <v>15273</v>
      </c>
      <c r="J110" s="905">
        <f>+J238+J239</f>
        <v>783575</v>
      </c>
      <c r="K110" s="905">
        <f>+K238+K239</f>
        <v>73945</v>
      </c>
      <c r="L110" s="905">
        <f t="shared" si="60"/>
        <v>0</v>
      </c>
      <c r="M110" s="905">
        <f t="shared" si="60"/>
        <v>0</v>
      </c>
      <c r="N110" s="906">
        <f t="shared" si="60"/>
        <v>0</v>
      </c>
    </row>
    <row r="111" spans="1:14" s="889" customFormat="1" ht="13.5" customHeight="1">
      <c r="A111" s="1285"/>
      <c r="B111" s="1286"/>
      <c r="C111" s="1073" t="s">
        <v>2610</v>
      </c>
      <c r="D111" s="1073"/>
      <c r="E111" s="903"/>
      <c r="F111" s="904">
        <f t="shared" si="48"/>
        <v>0</v>
      </c>
      <c r="G111" s="905">
        <f>SUM(G240:G244)</f>
        <v>0</v>
      </c>
      <c r="H111" s="905">
        <f t="shared" ref="H111:N111" si="61">SUM(H240:H244)</f>
        <v>0</v>
      </c>
      <c r="I111" s="905">
        <f t="shared" si="61"/>
        <v>0</v>
      </c>
      <c r="J111" s="905">
        <f>SUM(J240:J244)</f>
        <v>0</v>
      </c>
      <c r="K111" s="905">
        <f>SUM(K240:K244)</f>
        <v>0</v>
      </c>
      <c r="L111" s="905">
        <f t="shared" si="61"/>
        <v>0</v>
      </c>
      <c r="M111" s="905">
        <f t="shared" si="61"/>
        <v>0</v>
      </c>
      <c r="N111" s="906">
        <f t="shared" si="61"/>
        <v>0</v>
      </c>
    </row>
    <row r="112" spans="1:14" s="889" customFormat="1" ht="13.5" customHeight="1">
      <c r="A112" s="1285"/>
      <c r="B112" s="1286"/>
      <c r="C112" s="917" t="s">
        <v>2611</v>
      </c>
      <c r="D112" s="1286"/>
      <c r="E112" s="918"/>
      <c r="F112" s="919">
        <f t="shared" si="48"/>
        <v>0</v>
      </c>
      <c r="G112" s="1066">
        <f>IF(G245=0,0,+G245-G254)</f>
        <v>0</v>
      </c>
      <c r="H112" s="1066">
        <f t="shared" ref="H112:N112" si="62">IF(H245=0,0,+H245-H254)</f>
        <v>0</v>
      </c>
      <c r="I112" s="1066">
        <f t="shared" si="62"/>
        <v>0</v>
      </c>
      <c r="J112" s="1066">
        <f t="shared" si="62"/>
        <v>0</v>
      </c>
      <c r="K112" s="1066">
        <f t="shared" si="62"/>
        <v>0</v>
      </c>
      <c r="L112" s="1066">
        <f t="shared" si="62"/>
        <v>0</v>
      </c>
      <c r="M112" s="1066">
        <f t="shared" si="62"/>
        <v>0</v>
      </c>
      <c r="N112" s="1067">
        <f t="shared" si="62"/>
        <v>0</v>
      </c>
    </row>
    <row r="113" spans="1:14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48"/>
        <v>221300000</v>
      </c>
      <c r="G113" s="898">
        <f>G91+G102</f>
        <v>41842000</v>
      </c>
      <c r="H113" s="898">
        <f t="shared" ref="H113:N113" si="63">H91+H102</f>
        <v>27752000</v>
      </c>
      <c r="I113" s="898">
        <f t="shared" si="63"/>
        <v>2654000</v>
      </c>
      <c r="J113" s="898">
        <f t="shared" si="63"/>
        <v>136199000</v>
      </c>
      <c r="K113" s="898">
        <f>K91+K102</f>
        <v>12853000</v>
      </c>
      <c r="L113" s="898">
        <f t="shared" si="63"/>
        <v>0</v>
      </c>
      <c r="M113" s="898">
        <f t="shared" si="63"/>
        <v>0</v>
      </c>
      <c r="N113" s="899">
        <f t="shared" si="63"/>
        <v>0</v>
      </c>
    </row>
    <row r="114" spans="1:14" s="889" customFormat="1" ht="15" customHeight="1">
      <c r="A114" s="1077"/>
      <c r="B114" s="1286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</row>
    <row r="115" spans="1:14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N115" si="64">+G86</f>
        <v>工事1</v>
      </c>
      <c r="H115" s="1084" t="str">
        <f t="shared" si="64"/>
        <v>工事2</v>
      </c>
      <c r="I115" s="1084" t="str">
        <f t="shared" si="64"/>
        <v>工事3</v>
      </c>
      <c r="J115" s="1084" t="str">
        <f t="shared" si="64"/>
        <v>工事4</v>
      </c>
      <c r="K115" s="1084" t="str">
        <f t="shared" si="64"/>
        <v>工事5</v>
      </c>
      <c r="L115" s="1084">
        <f t="shared" si="64"/>
        <v>0</v>
      </c>
      <c r="M115" s="1084">
        <f t="shared" si="64"/>
        <v>0</v>
      </c>
      <c r="N115" s="1085">
        <f t="shared" si="64"/>
        <v>0</v>
      </c>
    </row>
    <row r="116" spans="1:14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8"/>
    </row>
    <row r="117" spans="1:14" s="889" customFormat="1" ht="15" customHeight="1">
      <c r="A117" s="2753"/>
      <c r="B117" s="2755" t="s">
        <v>2529</v>
      </c>
      <c r="C117" s="692" t="s">
        <v>2530</v>
      </c>
      <c r="D117" s="692"/>
      <c r="E117" s="875"/>
      <c r="F117" s="900">
        <f t="shared" ref="F117:F123" si="65">SUM(G117:N117)</f>
        <v>0</v>
      </c>
      <c r="G117" s="1068">
        <f t="shared" ref="G117:N117" si="66">IF(G85="新営",G92-SUM(G119:G130)-G134-G133,0)</f>
        <v>0</v>
      </c>
      <c r="H117" s="1068">
        <f t="shared" si="66"/>
        <v>0</v>
      </c>
      <c r="I117" s="1068">
        <f t="shared" si="66"/>
        <v>0</v>
      </c>
      <c r="J117" s="1068">
        <f t="shared" si="66"/>
        <v>0</v>
      </c>
      <c r="K117" s="1068">
        <f t="shared" si="66"/>
        <v>0</v>
      </c>
      <c r="L117" s="1068">
        <f t="shared" si="66"/>
        <v>0</v>
      </c>
      <c r="M117" s="1068">
        <f t="shared" si="66"/>
        <v>0</v>
      </c>
      <c r="N117" s="1068">
        <f t="shared" si="66"/>
        <v>0</v>
      </c>
    </row>
    <row r="118" spans="1:14" s="889" customFormat="1" ht="14.25" customHeight="1">
      <c r="A118" s="2753"/>
      <c r="B118" s="2756"/>
      <c r="C118" s="699" t="s">
        <v>2531</v>
      </c>
      <c r="D118" s="699"/>
      <c r="E118" s="903"/>
      <c r="F118" s="904">
        <f t="shared" si="65"/>
        <v>160184355</v>
      </c>
      <c r="G118" s="905">
        <f t="shared" ref="G118:N118" si="67">IF(G85="改修",G92-SUM(G119:G130)-G134-G133,0)</f>
        <v>25792935</v>
      </c>
      <c r="H118" s="905">
        <f t="shared" si="67"/>
        <v>21544814</v>
      </c>
      <c r="I118" s="905">
        <f t="shared" si="67"/>
        <v>1712888</v>
      </c>
      <c r="J118" s="905">
        <f t="shared" si="67"/>
        <v>101741858</v>
      </c>
      <c r="K118" s="905">
        <f t="shared" si="67"/>
        <v>9391860</v>
      </c>
      <c r="L118" s="905">
        <f t="shared" si="67"/>
        <v>0</v>
      </c>
      <c r="M118" s="905">
        <f t="shared" si="67"/>
        <v>0</v>
      </c>
      <c r="N118" s="905">
        <f t="shared" si="67"/>
        <v>0</v>
      </c>
    </row>
    <row r="119" spans="1:14" s="889" customFormat="1" ht="15" customHeight="1">
      <c r="A119" s="2753"/>
      <c r="B119" s="2756"/>
      <c r="C119" s="929" t="s">
        <v>2532</v>
      </c>
      <c r="D119" s="699"/>
      <c r="E119" s="903"/>
      <c r="F119" s="904">
        <f t="shared" si="65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9" customFormat="1" ht="15" customHeight="1">
      <c r="A120" s="2753"/>
      <c r="B120" s="2757"/>
      <c r="C120" s="929" t="s">
        <v>2533</v>
      </c>
      <c r="D120" s="699"/>
      <c r="E120" s="903"/>
      <c r="F120" s="904">
        <f t="shared" si="65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9" customFormat="1" ht="15" customHeight="1">
      <c r="A121" s="2753"/>
      <c r="B121" s="2758" t="s">
        <v>2534</v>
      </c>
      <c r="C121" s="698" t="s">
        <v>2616</v>
      </c>
      <c r="D121" s="699"/>
      <c r="E121" s="903"/>
      <c r="F121" s="904">
        <f t="shared" si="65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9" customFormat="1" ht="15" customHeight="1">
      <c r="A122" s="2753"/>
      <c r="B122" s="2756"/>
      <c r="C122" s="698" t="s">
        <v>2536</v>
      </c>
      <c r="D122" s="699"/>
      <c r="E122" s="903"/>
      <c r="F122" s="904">
        <f t="shared" si="65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9" customFormat="1" ht="15" customHeight="1">
      <c r="A123" s="2753"/>
      <c r="B123" s="2756"/>
      <c r="C123" s="699" t="s">
        <v>2537</v>
      </c>
      <c r="D123" s="699"/>
      <c r="E123" s="903"/>
      <c r="F123" s="904">
        <f t="shared" si="65"/>
        <v>5171700</v>
      </c>
      <c r="G123" s="1056">
        <v>3347200</v>
      </c>
      <c r="H123" s="1056"/>
      <c r="I123" s="1056">
        <v>338000</v>
      </c>
      <c r="J123" s="1056">
        <v>1086800</v>
      </c>
      <c r="K123" s="1056">
        <v>399700</v>
      </c>
      <c r="L123" s="1056"/>
      <c r="M123" s="1056"/>
      <c r="N123" s="1057"/>
    </row>
    <row r="124" spans="1:14" s="889" customFormat="1" ht="15" customHeight="1">
      <c r="A124" s="2753"/>
      <c r="B124" s="2756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6"/>
    </row>
    <row r="125" spans="1:14" s="889" customFormat="1" ht="15" customHeight="1">
      <c r="A125" s="2753"/>
      <c r="B125" s="2756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6"/>
    </row>
    <row r="126" spans="1:14" s="889" customFormat="1" ht="15" customHeight="1">
      <c r="A126" s="2753"/>
      <c r="B126" s="2756"/>
      <c r="C126" s="699" t="s">
        <v>2540</v>
      </c>
      <c r="D126" s="699"/>
      <c r="E126" s="903"/>
      <c r="F126" s="904">
        <f t="shared" ref="F126:F136" si="68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9" customFormat="1" ht="15" customHeight="1">
      <c r="A127" s="2753"/>
      <c r="B127" s="2756"/>
      <c r="C127" s="930" t="s">
        <v>2541</v>
      </c>
      <c r="D127" s="699"/>
      <c r="E127" s="903"/>
      <c r="F127" s="904">
        <f t="shared" si="68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9" customFormat="1" ht="15" customHeight="1">
      <c r="A128" s="2753"/>
      <c r="B128" s="2756"/>
      <c r="C128" s="931" t="s">
        <v>2619</v>
      </c>
      <c r="D128" s="699"/>
      <c r="E128" s="903"/>
      <c r="F128" s="904">
        <f t="shared" si="68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9" customFormat="1" ht="15" customHeight="1">
      <c r="A129" s="2753"/>
      <c r="B129" s="2757"/>
      <c r="C129" s="699" t="s">
        <v>2543</v>
      </c>
      <c r="D129" s="699"/>
      <c r="E129" s="903"/>
      <c r="F129" s="904">
        <f t="shared" si="68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9" customFormat="1" ht="15" customHeight="1">
      <c r="A130" s="2753"/>
      <c r="B130" s="2758" t="s">
        <v>2544</v>
      </c>
      <c r="C130" s="929" t="s">
        <v>2545</v>
      </c>
      <c r="D130" s="699"/>
      <c r="E130" s="903"/>
      <c r="F130" s="904">
        <f t="shared" si="68"/>
        <v>471415</v>
      </c>
      <c r="G130" s="1056">
        <v>75152</v>
      </c>
      <c r="H130" s="1056">
        <v>10832</v>
      </c>
      <c r="I130" s="1056">
        <v>1593</v>
      </c>
      <c r="J130" s="1056">
        <v>383838</v>
      </c>
      <c r="K130" s="1056"/>
      <c r="L130" s="1056"/>
      <c r="M130" s="1056"/>
      <c r="N130" s="1057"/>
    </row>
    <row r="131" spans="1:14" s="889" customFormat="1" ht="15" customHeight="1">
      <c r="A131" s="2753"/>
      <c r="B131" s="2756"/>
      <c r="C131" s="929" t="s">
        <v>2546</v>
      </c>
      <c r="D131" s="699"/>
      <c r="E131" s="903"/>
      <c r="F131" s="904">
        <f t="shared" si="68"/>
        <v>0</v>
      </c>
      <c r="G131" s="905">
        <f t="shared" ref="G131:N131" si="69">+G100</f>
        <v>0</v>
      </c>
      <c r="H131" s="905">
        <f t="shared" si="69"/>
        <v>0</v>
      </c>
      <c r="I131" s="905">
        <f t="shared" si="69"/>
        <v>0</v>
      </c>
      <c r="J131" s="905">
        <f>+J100</f>
        <v>0</v>
      </c>
      <c r="K131" s="905">
        <f>+K100</f>
        <v>0</v>
      </c>
      <c r="L131" s="905">
        <f t="shared" si="69"/>
        <v>0</v>
      </c>
      <c r="M131" s="905">
        <f t="shared" si="69"/>
        <v>0</v>
      </c>
      <c r="N131" s="906">
        <f t="shared" si="69"/>
        <v>0</v>
      </c>
    </row>
    <row r="132" spans="1:14" s="889" customFormat="1" ht="15" customHeight="1">
      <c r="A132" s="2753"/>
      <c r="B132" s="2756"/>
      <c r="C132" s="699" t="s">
        <v>2547</v>
      </c>
      <c r="D132" s="699"/>
      <c r="E132" s="903"/>
      <c r="F132" s="904">
        <f t="shared" si="68"/>
        <v>0</v>
      </c>
      <c r="G132" s="905">
        <f>+G99</f>
        <v>0</v>
      </c>
      <c r="H132" s="905">
        <f t="shared" ref="H132:N132" si="70">+H99</f>
        <v>0</v>
      </c>
      <c r="I132" s="905">
        <f t="shared" si="70"/>
        <v>0</v>
      </c>
      <c r="J132" s="905">
        <f>+J99</f>
        <v>0</v>
      </c>
      <c r="K132" s="905">
        <f>+K99</f>
        <v>0</v>
      </c>
      <c r="L132" s="905">
        <f t="shared" si="70"/>
        <v>0</v>
      </c>
      <c r="M132" s="905">
        <f t="shared" si="70"/>
        <v>0</v>
      </c>
      <c r="N132" s="906">
        <f t="shared" si="70"/>
        <v>0</v>
      </c>
    </row>
    <row r="133" spans="1:14" s="889" customFormat="1" ht="15" customHeight="1">
      <c r="A133" s="2753"/>
      <c r="B133" s="2756"/>
      <c r="C133" s="699" t="s">
        <v>2548</v>
      </c>
      <c r="D133" s="699"/>
      <c r="E133" s="903"/>
      <c r="F133" s="904">
        <f t="shared" si="68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9" customFormat="1" ht="15" customHeight="1">
      <c r="A134" s="2753"/>
      <c r="B134" s="2756"/>
      <c r="C134" s="933" t="s">
        <v>2549</v>
      </c>
      <c r="D134" s="933"/>
      <c r="E134" s="934"/>
      <c r="F134" s="904">
        <f t="shared" si="68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9" customFormat="1" ht="15" customHeight="1">
      <c r="A135" s="2753"/>
      <c r="B135" s="2756"/>
      <c r="C135" s="933" t="s">
        <v>2550</v>
      </c>
      <c r="D135" s="933"/>
      <c r="E135" s="934"/>
      <c r="F135" s="904">
        <f t="shared" si="68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9" customFormat="1" ht="15" customHeight="1">
      <c r="A136" s="2754"/>
      <c r="B136" s="2759"/>
      <c r="C136" s="937" t="s">
        <v>2551</v>
      </c>
      <c r="D136" s="937"/>
      <c r="E136" s="938"/>
      <c r="F136" s="939">
        <f t="shared" si="68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9" customFormat="1" ht="15" hidden="1" customHeight="1">
      <c r="A137" s="1286"/>
      <c r="B137" s="1286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2621</v>
      </c>
    </row>
    <row r="138" spans="1:14" s="889" customFormat="1" ht="15" hidden="1" customHeight="1">
      <c r="A138" s="1286"/>
      <c r="B138" s="1286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9" customFormat="1" ht="15" hidden="1" customHeight="1">
      <c r="A139" s="870"/>
      <c r="B139" s="871"/>
      <c r="C139" s="871"/>
      <c r="D139" s="2767" t="s">
        <v>2623</v>
      </c>
      <c r="E139" s="2767" t="s">
        <v>2624</v>
      </c>
      <c r="F139" s="1083" t="s">
        <v>2505</v>
      </c>
      <c r="G139" s="1084" t="str">
        <f t="shared" ref="G139:N139" si="71">+G86</f>
        <v>工事1</v>
      </c>
      <c r="H139" s="1084" t="str">
        <f t="shared" si="71"/>
        <v>工事2</v>
      </c>
      <c r="I139" s="1084" t="str">
        <f t="shared" si="71"/>
        <v>工事3</v>
      </c>
      <c r="J139" s="1084" t="str">
        <f t="shared" si="71"/>
        <v>工事4</v>
      </c>
      <c r="K139" s="1084" t="str">
        <f t="shared" si="71"/>
        <v>工事5</v>
      </c>
      <c r="L139" s="1084">
        <f t="shared" si="71"/>
        <v>0</v>
      </c>
      <c r="M139" s="1084">
        <f t="shared" si="71"/>
        <v>0</v>
      </c>
      <c r="N139" s="1085">
        <f t="shared" si="71"/>
        <v>0</v>
      </c>
    </row>
    <row r="140" spans="1:14" s="889" customFormat="1" ht="15" hidden="1" customHeight="1">
      <c r="A140" s="2769" t="s">
        <v>2625</v>
      </c>
      <c r="B140" s="2770"/>
      <c r="C140" s="2771"/>
      <c r="D140" s="2768"/>
      <c r="E140" s="2768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9" customFormat="1" ht="15" hidden="1" customHeight="1">
      <c r="A141" s="2772"/>
      <c r="B141" s="1095" t="s">
        <v>2626</v>
      </c>
      <c r="C141" s="1096"/>
      <c r="D141" s="1097"/>
      <c r="E141" s="1098"/>
      <c r="F141" s="1099">
        <f t="shared" ref="F141:F148" si="72">SUM(G141:N141)</f>
        <v>165356055</v>
      </c>
      <c r="G141" s="1100">
        <f>SUM(G117:G129)+G133</f>
        <v>29140135</v>
      </c>
      <c r="H141" s="1100">
        <f t="shared" ref="H141:N141" si="73">SUM(H117:H129)+H133</f>
        <v>21544814</v>
      </c>
      <c r="I141" s="1100">
        <f t="shared" si="73"/>
        <v>2050888</v>
      </c>
      <c r="J141" s="1100">
        <f t="shared" si="73"/>
        <v>102828658</v>
      </c>
      <c r="K141" s="1100">
        <f t="shared" si="73"/>
        <v>9791560</v>
      </c>
      <c r="L141" s="1100">
        <f t="shared" si="73"/>
        <v>0</v>
      </c>
      <c r="M141" s="1100">
        <f t="shared" si="73"/>
        <v>0</v>
      </c>
      <c r="N141" s="1100">
        <f t="shared" si="73"/>
        <v>0</v>
      </c>
    </row>
    <row r="142" spans="1:14" s="889" customFormat="1" ht="15" hidden="1" customHeight="1">
      <c r="A142" s="2773"/>
      <c r="B142" s="2758" t="s">
        <v>2529</v>
      </c>
      <c r="C142" s="1101" t="s">
        <v>2530</v>
      </c>
      <c r="D142" s="1102">
        <v>1</v>
      </c>
      <c r="E142" s="1103" t="s">
        <v>2627</v>
      </c>
      <c r="F142" s="904">
        <f t="shared" si="72"/>
        <v>0</v>
      </c>
      <c r="G142" s="905">
        <f t="shared" ref="G142:N142" si="74">IF(G88="積上げ",0,+G117)</f>
        <v>0</v>
      </c>
      <c r="H142" s="905">
        <f t="shared" si="74"/>
        <v>0</v>
      </c>
      <c r="I142" s="905">
        <f t="shared" si="74"/>
        <v>0</v>
      </c>
      <c r="J142" s="905">
        <f t="shared" si="74"/>
        <v>0</v>
      </c>
      <c r="K142" s="905">
        <f t="shared" si="74"/>
        <v>0</v>
      </c>
      <c r="L142" s="905">
        <f t="shared" si="74"/>
        <v>0</v>
      </c>
      <c r="M142" s="905">
        <f t="shared" si="74"/>
        <v>0</v>
      </c>
      <c r="N142" s="905">
        <f t="shared" si="74"/>
        <v>0</v>
      </c>
    </row>
    <row r="143" spans="1:14" s="889" customFormat="1" ht="15" hidden="1" customHeight="1">
      <c r="A143" s="2773"/>
      <c r="B143" s="2756"/>
      <c r="C143" s="1101" t="s">
        <v>2531</v>
      </c>
      <c r="D143" s="1102">
        <v>1</v>
      </c>
      <c r="E143" s="1103" t="s">
        <v>2627</v>
      </c>
      <c r="F143" s="904">
        <f t="shared" si="72"/>
        <v>160184355</v>
      </c>
      <c r="G143" s="905">
        <f t="shared" ref="G143:N143" si="75">IF(G88="積上げ",0,+G118)</f>
        <v>25792935</v>
      </c>
      <c r="H143" s="905">
        <f t="shared" si="75"/>
        <v>21544814</v>
      </c>
      <c r="I143" s="905">
        <f t="shared" si="75"/>
        <v>1712888</v>
      </c>
      <c r="J143" s="905">
        <f t="shared" si="75"/>
        <v>101741858</v>
      </c>
      <c r="K143" s="905">
        <f t="shared" si="75"/>
        <v>9391860</v>
      </c>
      <c r="L143" s="905">
        <f t="shared" si="75"/>
        <v>0</v>
      </c>
      <c r="M143" s="905">
        <f t="shared" si="75"/>
        <v>0</v>
      </c>
      <c r="N143" s="905">
        <f t="shared" si="75"/>
        <v>0</v>
      </c>
    </row>
    <row r="144" spans="1:14" s="889" customFormat="1" ht="15" hidden="1" customHeight="1">
      <c r="A144" s="2773"/>
      <c r="B144" s="2756"/>
      <c r="C144" s="1101" t="s">
        <v>2628</v>
      </c>
      <c r="D144" s="1102">
        <v>0.9</v>
      </c>
      <c r="E144" s="1103" t="s">
        <v>2627</v>
      </c>
      <c r="F144" s="904">
        <f t="shared" si="72"/>
        <v>0</v>
      </c>
      <c r="G144" s="905">
        <f t="shared" ref="G144:N144" si="76">IF(G88="積上げ",0,+G119)</f>
        <v>0</v>
      </c>
      <c r="H144" s="905">
        <f t="shared" si="76"/>
        <v>0</v>
      </c>
      <c r="I144" s="905">
        <f t="shared" si="76"/>
        <v>0</v>
      </c>
      <c r="J144" s="905">
        <f t="shared" si="76"/>
        <v>0</v>
      </c>
      <c r="K144" s="905">
        <f t="shared" si="76"/>
        <v>0</v>
      </c>
      <c r="L144" s="905">
        <f t="shared" si="76"/>
        <v>0</v>
      </c>
      <c r="M144" s="905">
        <f t="shared" si="76"/>
        <v>0</v>
      </c>
      <c r="N144" s="905">
        <f t="shared" si="76"/>
        <v>0</v>
      </c>
    </row>
    <row r="145" spans="1:14" s="889" customFormat="1" ht="15" hidden="1" customHeight="1">
      <c r="A145" s="2773"/>
      <c r="B145" s="2757"/>
      <c r="C145" s="1101" t="s">
        <v>2629</v>
      </c>
      <c r="D145" s="1102">
        <v>0.9</v>
      </c>
      <c r="E145" s="1103" t="s">
        <v>2627</v>
      </c>
      <c r="F145" s="904">
        <f t="shared" si="72"/>
        <v>0</v>
      </c>
      <c r="G145" s="905">
        <f t="shared" ref="G145:N145" si="77">IF(G88="積上げ",0,+G120)</f>
        <v>0</v>
      </c>
      <c r="H145" s="905">
        <f t="shared" si="77"/>
        <v>0</v>
      </c>
      <c r="I145" s="905">
        <f t="shared" si="77"/>
        <v>0</v>
      </c>
      <c r="J145" s="905">
        <f t="shared" si="77"/>
        <v>0</v>
      </c>
      <c r="K145" s="905">
        <f t="shared" si="77"/>
        <v>0</v>
      </c>
      <c r="L145" s="905">
        <f t="shared" si="77"/>
        <v>0</v>
      </c>
      <c r="M145" s="905">
        <f t="shared" si="77"/>
        <v>0</v>
      </c>
      <c r="N145" s="905">
        <f t="shared" si="77"/>
        <v>0</v>
      </c>
    </row>
    <row r="146" spans="1:14" s="889" customFormat="1" ht="15" hidden="1" customHeight="1">
      <c r="A146" s="2773"/>
      <c r="B146" s="2758" t="s">
        <v>2534</v>
      </c>
      <c r="C146" s="1101" t="s">
        <v>2630</v>
      </c>
      <c r="D146" s="1102">
        <v>1</v>
      </c>
      <c r="E146" s="1104">
        <v>0.01</v>
      </c>
      <c r="F146" s="904">
        <f t="shared" si="72"/>
        <v>0</v>
      </c>
      <c r="G146" s="905">
        <f t="shared" ref="G146:N146" si="78">IF(G88="積上げ",0,+G121)</f>
        <v>0</v>
      </c>
      <c r="H146" s="905">
        <f t="shared" si="78"/>
        <v>0</v>
      </c>
      <c r="I146" s="905">
        <f t="shared" si="78"/>
        <v>0</v>
      </c>
      <c r="J146" s="905">
        <f t="shared" si="78"/>
        <v>0</v>
      </c>
      <c r="K146" s="905">
        <f t="shared" si="78"/>
        <v>0</v>
      </c>
      <c r="L146" s="905">
        <f t="shared" si="78"/>
        <v>0</v>
      </c>
      <c r="M146" s="905">
        <f t="shared" si="78"/>
        <v>0</v>
      </c>
      <c r="N146" s="905">
        <f t="shared" si="78"/>
        <v>0</v>
      </c>
    </row>
    <row r="147" spans="1:14" s="889" customFormat="1" ht="15" hidden="1" customHeight="1">
      <c r="A147" s="2773"/>
      <c r="B147" s="2756"/>
      <c r="C147" s="1101" t="s">
        <v>2631</v>
      </c>
      <c r="D147" s="1102">
        <v>1</v>
      </c>
      <c r="E147" s="1104">
        <v>0.01</v>
      </c>
      <c r="F147" s="904">
        <f t="shared" si="72"/>
        <v>0</v>
      </c>
      <c r="G147" s="905">
        <f t="shared" ref="G147:N147" si="79">IF(G88="積上げ",0,G122)</f>
        <v>0</v>
      </c>
      <c r="H147" s="905">
        <f t="shared" si="79"/>
        <v>0</v>
      </c>
      <c r="I147" s="905">
        <f t="shared" si="79"/>
        <v>0</v>
      </c>
      <c r="J147" s="905">
        <f t="shared" si="79"/>
        <v>0</v>
      </c>
      <c r="K147" s="905">
        <f t="shared" si="79"/>
        <v>0</v>
      </c>
      <c r="L147" s="905">
        <f t="shared" si="79"/>
        <v>0</v>
      </c>
      <c r="M147" s="905">
        <f t="shared" si="79"/>
        <v>0</v>
      </c>
      <c r="N147" s="905">
        <f t="shared" si="79"/>
        <v>0</v>
      </c>
    </row>
    <row r="148" spans="1:14" s="889" customFormat="1" ht="15" hidden="1" customHeight="1">
      <c r="A148" s="2773"/>
      <c r="B148" s="2756"/>
      <c r="C148" s="1101" t="s">
        <v>2537</v>
      </c>
      <c r="D148" s="1102">
        <v>1</v>
      </c>
      <c r="E148" s="1104">
        <v>0.01</v>
      </c>
      <c r="F148" s="904">
        <f t="shared" si="72"/>
        <v>5171700</v>
      </c>
      <c r="G148" s="905">
        <f t="shared" ref="G148:N148" si="80">IF(G88="積上げ",0,G123)</f>
        <v>3347200</v>
      </c>
      <c r="H148" s="905">
        <f t="shared" si="80"/>
        <v>0</v>
      </c>
      <c r="I148" s="905">
        <f t="shared" si="80"/>
        <v>338000</v>
      </c>
      <c r="J148" s="905">
        <f t="shared" si="80"/>
        <v>1086800</v>
      </c>
      <c r="K148" s="905">
        <f t="shared" si="80"/>
        <v>399700</v>
      </c>
      <c r="L148" s="905">
        <f t="shared" si="80"/>
        <v>0</v>
      </c>
      <c r="M148" s="905">
        <f t="shared" si="80"/>
        <v>0</v>
      </c>
      <c r="N148" s="905">
        <f t="shared" si="80"/>
        <v>0</v>
      </c>
    </row>
    <row r="149" spans="1:14" s="889" customFormat="1" ht="14.25" hidden="1" customHeight="1">
      <c r="A149" s="2773"/>
      <c r="B149" s="2756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</row>
    <row r="150" spans="1:14" s="889" customFormat="1" ht="14.25" hidden="1" customHeight="1">
      <c r="A150" s="2773"/>
      <c r="B150" s="2756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</row>
    <row r="151" spans="1:14" s="889" customFormat="1" ht="15" hidden="1" customHeight="1">
      <c r="A151" s="2773"/>
      <c r="B151" s="2756"/>
      <c r="C151" s="1101" t="s">
        <v>2540</v>
      </c>
      <c r="D151" s="1102">
        <v>1</v>
      </c>
      <c r="E151" s="1104">
        <v>0.01</v>
      </c>
      <c r="F151" s="904">
        <f>SUM(G151:N151)</f>
        <v>0</v>
      </c>
      <c r="G151" s="905">
        <f t="shared" ref="G151:N151" si="81">IF(G88="積上げ",0,+G126)</f>
        <v>0</v>
      </c>
      <c r="H151" s="905">
        <f t="shared" si="81"/>
        <v>0</v>
      </c>
      <c r="I151" s="905">
        <f t="shared" si="81"/>
        <v>0</v>
      </c>
      <c r="J151" s="905">
        <f t="shared" si="81"/>
        <v>0</v>
      </c>
      <c r="K151" s="905">
        <f t="shared" si="81"/>
        <v>0</v>
      </c>
      <c r="L151" s="905">
        <f t="shared" si="81"/>
        <v>0</v>
      </c>
      <c r="M151" s="905">
        <f t="shared" si="81"/>
        <v>0</v>
      </c>
      <c r="N151" s="905">
        <f t="shared" si="81"/>
        <v>0</v>
      </c>
    </row>
    <row r="152" spans="1:14" s="889" customFormat="1" ht="15" hidden="1" customHeight="1">
      <c r="A152" s="2773"/>
      <c r="B152" s="2756"/>
      <c r="C152" s="1105" t="s">
        <v>2541</v>
      </c>
      <c r="D152" s="1102">
        <v>1</v>
      </c>
      <c r="E152" s="1104">
        <v>0.01</v>
      </c>
      <c r="F152" s="904">
        <f>SUM(G152:N152)</f>
        <v>0</v>
      </c>
      <c r="G152" s="905">
        <f t="shared" ref="G152:N152" si="82">IF(G88="積上げ",0,+G127)</f>
        <v>0</v>
      </c>
      <c r="H152" s="905">
        <f t="shared" si="82"/>
        <v>0</v>
      </c>
      <c r="I152" s="905">
        <f t="shared" si="82"/>
        <v>0</v>
      </c>
      <c r="J152" s="905">
        <f t="shared" si="82"/>
        <v>0</v>
      </c>
      <c r="K152" s="905">
        <f t="shared" si="82"/>
        <v>0</v>
      </c>
      <c r="L152" s="905">
        <f t="shared" si="82"/>
        <v>0</v>
      </c>
      <c r="M152" s="905">
        <f t="shared" si="82"/>
        <v>0</v>
      </c>
      <c r="N152" s="905">
        <f t="shared" si="82"/>
        <v>0</v>
      </c>
    </row>
    <row r="153" spans="1:14" s="889" customFormat="1" ht="15" hidden="1" customHeight="1">
      <c r="A153" s="2773"/>
      <c r="B153" s="2756"/>
      <c r="C153" s="1105" t="s">
        <v>2619</v>
      </c>
      <c r="D153" s="1102">
        <v>1</v>
      </c>
      <c r="E153" s="1104">
        <v>0.01</v>
      </c>
      <c r="F153" s="904">
        <f>SUM(G153:N153)</f>
        <v>0</v>
      </c>
      <c r="G153" s="905">
        <f t="shared" ref="G153:N153" si="83">IF(G88="積上げ",0,+G128)</f>
        <v>0</v>
      </c>
      <c r="H153" s="905">
        <f t="shared" si="83"/>
        <v>0</v>
      </c>
      <c r="I153" s="905">
        <f t="shared" si="83"/>
        <v>0</v>
      </c>
      <c r="J153" s="905">
        <f t="shared" si="83"/>
        <v>0</v>
      </c>
      <c r="K153" s="905">
        <f t="shared" si="83"/>
        <v>0</v>
      </c>
      <c r="L153" s="905">
        <f t="shared" si="83"/>
        <v>0</v>
      </c>
      <c r="M153" s="905">
        <f t="shared" si="83"/>
        <v>0</v>
      </c>
      <c r="N153" s="905">
        <f t="shared" si="83"/>
        <v>0</v>
      </c>
    </row>
    <row r="154" spans="1:14" s="889" customFormat="1" ht="15" hidden="1" customHeight="1">
      <c r="A154" s="2773"/>
      <c r="B154" s="2757"/>
      <c r="C154" s="1101" t="s">
        <v>2543</v>
      </c>
      <c r="D154" s="1102">
        <v>1</v>
      </c>
      <c r="E154" s="1104">
        <v>0.01</v>
      </c>
      <c r="F154" s="904">
        <f>SUM(G154:N154)</f>
        <v>0</v>
      </c>
      <c r="G154" s="905">
        <f t="shared" ref="G154:N154" si="84">IF(G88="積上げ",0,+G129)</f>
        <v>0</v>
      </c>
      <c r="H154" s="905">
        <f t="shared" si="84"/>
        <v>0</v>
      </c>
      <c r="I154" s="905">
        <f t="shared" si="84"/>
        <v>0</v>
      </c>
      <c r="J154" s="905">
        <f t="shared" si="84"/>
        <v>0</v>
      </c>
      <c r="K154" s="905">
        <f t="shared" si="84"/>
        <v>0</v>
      </c>
      <c r="L154" s="905">
        <f t="shared" si="84"/>
        <v>0</v>
      </c>
      <c r="M154" s="905">
        <f t="shared" si="84"/>
        <v>0</v>
      </c>
      <c r="N154" s="905">
        <f t="shared" si="84"/>
        <v>0</v>
      </c>
    </row>
    <row r="155" spans="1:14" s="889" customFormat="1" ht="15" hidden="1" customHeight="1">
      <c r="A155" s="2774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SUM(G155:N155)</f>
        <v>471415</v>
      </c>
      <c r="G155" s="1064">
        <f t="shared" ref="G155:N155" si="85">IF(G88="積上げ",0,SUM(G133:G136)+G130)</f>
        <v>75152</v>
      </c>
      <c r="H155" s="1064">
        <f t="shared" si="85"/>
        <v>10832</v>
      </c>
      <c r="I155" s="1064">
        <f t="shared" si="85"/>
        <v>1593</v>
      </c>
      <c r="J155" s="1064">
        <f t="shared" si="85"/>
        <v>383838</v>
      </c>
      <c r="K155" s="1064">
        <f t="shared" si="85"/>
        <v>0</v>
      </c>
      <c r="L155" s="1064">
        <f t="shared" si="85"/>
        <v>0</v>
      </c>
      <c r="M155" s="1064">
        <f t="shared" si="85"/>
        <v>0</v>
      </c>
      <c r="N155" s="1064">
        <f t="shared" si="85"/>
        <v>0</v>
      </c>
    </row>
    <row r="156" spans="1:14" s="889" customFormat="1" ht="15" hidden="1" customHeight="1">
      <c r="A156" s="1110"/>
      <c r="B156" s="1111"/>
      <c r="C156" s="1112"/>
      <c r="D156" s="2775"/>
      <c r="E156" s="2775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9" customFormat="1" ht="15" hidden="1" customHeight="1">
      <c r="A157" s="2769" t="s">
        <v>2634</v>
      </c>
      <c r="B157" s="2770"/>
      <c r="C157" s="2771"/>
      <c r="D157" s="2776"/>
      <c r="E157" s="2776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9" customFormat="1" ht="15" hidden="1" customHeight="1">
      <c r="A158" s="2772"/>
      <c r="B158" s="275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N158" si="86">IF(G142=0,0,IF(G90="有り",+G264/100,G265/100))</f>
        <v>0</v>
      </c>
      <c r="H158" s="1118">
        <f t="shared" si="86"/>
        <v>0</v>
      </c>
      <c r="I158" s="1118">
        <f t="shared" si="86"/>
        <v>0</v>
      </c>
      <c r="J158" s="1118">
        <f t="shared" si="86"/>
        <v>0</v>
      </c>
      <c r="K158" s="1118">
        <f t="shared" si="86"/>
        <v>0</v>
      </c>
      <c r="L158" s="1118">
        <f t="shared" si="86"/>
        <v>0</v>
      </c>
      <c r="M158" s="1118">
        <f t="shared" si="86"/>
        <v>0</v>
      </c>
      <c r="N158" s="1119">
        <f t="shared" si="86"/>
        <v>0</v>
      </c>
    </row>
    <row r="159" spans="1:14" s="889" customFormat="1" ht="15" hidden="1" customHeight="1">
      <c r="A159" s="2773"/>
      <c r="B159" s="2756"/>
      <c r="C159" s="1120"/>
      <c r="D159" s="1121">
        <f>+D142</f>
        <v>1</v>
      </c>
      <c r="E159" s="1122" t="s">
        <v>2627</v>
      </c>
      <c r="F159" s="1055">
        <f>SUM(G159:N159)</f>
        <v>0</v>
      </c>
      <c r="G159" s="1071">
        <f>ROUNDDOWN(G142*G158*$D159,0)</f>
        <v>0</v>
      </c>
      <c r="H159" s="1071">
        <f t="shared" ref="H159:N159" si="87">ROUNDDOWN(H142*H158*$D159,0)</f>
        <v>0</v>
      </c>
      <c r="I159" s="1071">
        <f t="shared" si="87"/>
        <v>0</v>
      </c>
      <c r="J159" s="1071">
        <f t="shared" si="87"/>
        <v>0</v>
      </c>
      <c r="K159" s="1071">
        <f>ROUNDDOWN(K142*K158*$D159,0)</f>
        <v>0</v>
      </c>
      <c r="L159" s="1071">
        <f t="shared" si="87"/>
        <v>0</v>
      </c>
      <c r="M159" s="1071">
        <f t="shared" si="87"/>
        <v>0</v>
      </c>
      <c r="N159" s="1072">
        <f t="shared" si="87"/>
        <v>0</v>
      </c>
    </row>
    <row r="160" spans="1:14" s="889" customFormat="1" ht="15" hidden="1" customHeight="1">
      <c r="A160" s="2773"/>
      <c r="B160" s="2756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N160" si="88">IF(G143=0,0,IF(G90="有り",G273/100,+G274/100))</f>
        <v>3.2400000000000005E-2</v>
      </c>
      <c r="H160" s="1126">
        <f t="shared" si="88"/>
        <v>2.8999999999999998E-2</v>
      </c>
      <c r="I160" s="1126">
        <f t="shared" si="88"/>
        <v>3.2400000000000005E-2</v>
      </c>
      <c r="J160" s="1126">
        <f t="shared" si="88"/>
        <v>3.2400000000000005E-2</v>
      </c>
      <c r="K160" s="1126">
        <f t="shared" si="88"/>
        <v>3.2400000000000005E-2</v>
      </c>
      <c r="L160" s="1126">
        <f t="shared" si="88"/>
        <v>0</v>
      </c>
      <c r="M160" s="1126">
        <f t="shared" si="88"/>
        <v>0</v>
      </c>
      <c r="N160" s="1127">
        <f t="shared" si="88"/>
        <v>0</v>
      </c>
    </row>
    <row r="161" spans="1:14" s="889" customFormat="1" ht="15" hidden="1" customHeight="1">
      <c r="A161" s="2773"/>
      <c r="B161" s="2756"/>
      <c r="C161" s="1120"/>
      <c r="D161" s="1128">
        <f t="shared" ref="D161:D166" si="89">+D143</f>
        <v>1</v>
      </c>
      <c r="E161" s="1122" t="s">
        <v>2627</v>
      </c>
      <c r="F161" s="1055">
        <f>SUM(G161:N161)</f>
        <v>5116719</v>
      </c>
      <c r="G161" s="1071">
        <f>ROUNDDOWN(G143*G160*$D161,0)</f>
        <v>835691</v>
      </c>
      <c r="H161" s="1071">
        <f t="shared" ref="H161:N161" si="90">ROUNDDOWN(H143*H160*$D161,0)</f>
        <v>624799</v>
      </c>
      <c r="I161" s="1071">
        <f t="shared" si="90"/>
        <v>55497</v>
      </c>
      <c r="J161" s="1071">
        <f t="shared" si="90"/>
        <v>3296436</v>
      </c>
      <c r="K161" s="1071">
        <f>ROUNDDOWN(K143*K160*$D161,0)</f>
        <v>304296</v>
      </c>
      <c r="L161" s="1071">
        <f t="shared" si="90"/>
        <v>0</v>
      </c>
      <c r="M161" s="1071">
        <f t="shared" si="90"/>
        <v>0</v>
      </c>
      <c r="N161" s="1072">
        <f t="shared" si="90"/>
        <v>0</v>
      </c>
    </row>
    <row r="162" spans="1:14" s="889" customFormat="1" ht="15" hidden="1" customHeight="1">
      <c r="A162" s="2773"/>
      <c r="B162" s="2756"/>
      <c r="C162" s="1101" t="s">
        <v>2553</v>
      </c>
      <c r="D162" s="1129">
        <v>0.9</v>
      </c>
      <c r="E162" s="1122" t="s">
        <v>2627</v>
      </c>
      <c r="F162" s="1055">
        <f>SUM(G162:N162)</f>
        <v>0</v>
      </c>
      <c r="G162" s="1071">
        <f>ROUNDDOWN(G144*G158*$D162,0)</f>
        <v>0</v>
      </c>
      <c r="H162" s="1071">
        <f t="shared" ref="H162:N162" si="91">ROUNDDOWN(H144*H158*$D162,0)</f>
        <v>0</v>
      </c>
      <c r="I162" s="1071">
        <f t="shared" si="91"/>
        <v>0</v>
      </c>
      <c r="J162" s="1071">
        <f t="shared" si="91"/>
        <v>0</v>
      </c>
      <c r="K162" s="1071">
        <f>ROUNDDOWN(K144*K158*$D162,0)</f>
        <v>0</v>
      </c>
      <c r="L162" s="1071">
        <f t="shared" si="91"/>
        <v>0</v>
      </c>
      <c r="M162" s="1071">
        <f t="shared" si="91"/>
        <v>0</v>
      </c>
      <c r="N162" s="1072">
        <f t="shared" si="91"/>
        <v>0</v>
      </c>
    </row>
    <row r="163" spans="1:14" s="889" customFormat="1" ht="15" hidden="1" customHeight="1">
      <c r="A163" s="2773"/>
      <c r="B163" s="2757"/>
      <c r="C163" s="1101" t="s">
        <v>2554</v>
      </c>
      <c r="D163" s="1129">
        <v>0.9</v>
      </c>
      <c r="E163" s="1122" t="s">
        <v>2627</v>
      </c>
      <c r="F163" s="1055">
        <f>SUM(G163:N163)</f>
        <v>0</v>
      </c>
      <c r="G163" s="1071">
        <f>ROUNDDOWN(G145*G160*$D163,0)</f>
        <v>0</v>
      </c>
      <c r="H163" s="1071">
        <f t="shared" ref="H163:N163" si="92">ROUNDDOWN(H145*H160*$D163,0)</f>
        <v>0</v>
      </c>
      <c r="I163" s="1071">
        <f t="shared" si="92"/>
        <v>0</v>
      </c>
      <c r="J163" s="1071">
        <f t="shared" si="92"/>
        <v>0</v>
      </c>
      <c r="K163" s="1071">
        <f>ROUNDDOWN(K145*K160*$D163,0)</f>
        <v>0</v>
      </c>
      <c r="L163" s="1071">
        <f t="shared" si="92"/>
        <v>0</v>
      </c>
      <c r="M163" s="1071">
        <f t="shared" si="92"/>
        <v>0</v>
      </c>
      <c r="N163" s="1072">
        <f t="shared" si="92"/>
        <v>0</v>
      </c>
    </row>
    <row r="164" spans="1:14" s="889" customFormat="1" ht="15" hidden="1" customHeight="1">
      <c r="A164" s="2773"/>
      <c r="B164" s="2758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N173" si="93">ROUNDDOWN(G146*$E164*$D164,0)</f>
        <v>0</v>
      </c>
      <c r="H164" s="1071">
        <f t="shared" si="93"/>
        <v>0</v>
      </c>
      <c r="I164" s="1071">
        <f t="shared" si="93"/>
        <v>0</v>
      </c>
      <c r="J164" s="1071">
        <f t="shared" si="93"/>
        <v>0</v>
      </c>
      <c r="K164" s="1071">
        <f t="shared" si="93"/>
        <v>0</v>
      </c>
      <c r="L164" s="1071">
        <f t="shared" si="93"/>
        <v>0</v>
      </c>
      <c r="M164" s="1071">
        <f t="shared" si="93"/>
        <v>0</v>
      </c>
      <c r="N164" s="1071">
        <f t="shared" si="93"/>
        <v>0</v>
      </c>
    </row>
    <row r="165" spans="1:14" s="889" customFormat="1" ht="15" hidden="1" customHeight="1">
      <c r="A165" s="2773"/>
      <c r="B165" s="2756"/>
      <c r="C165" s="1101" t="s">
        <v>2636</v>
      </c>
      <c r="D165" s="1129">
        <f t="shared" si="89"/>
        <v>1</v>
      </c>
      <c r="E165" s="1104">
        <f>+E147</f>
        <v>0.01</v>
      </c>
      <c r="F165" s="904">
        <v>0</v>
      </c>
      <c r="G165" s="1071">
        <f t="shared" si="93"/>
        <v>0</v>
      </c>
      <c r="H165" s="1071">
        <f t="shared" si="93"/>
        <v>0</v>
      </c>
      <c r="I165" s="1071">
        <f t="shared" si="93"/>
        <v>0</v>
      </c>
      <c r="J165" s="1071">
        <f t="shared" si="93"/>
        <v>0</v>
      </c>
      <c r="K165" s="1071">
        <f t="shared" si="93"/>
        <v>0</v>
      </c>
      <c r="L165" s="1071">
        <f t="shared" si="93"/>
        <v>0</v>
      </c>
      <c r="M165" s="1071">
        <f t="shared" si="93"/>
        <v>0</v>
      </c>
      <c r="N165" s="1071">
        <f t="shared" si="93"/>
        <v>0</v>
      </c>
    </row>
    <row r="166" spans="1:14" s="889" customFormat="1" ht="15" hidden="1" customHeight="1">
      <c r="A166" s="2773"/>
      <c r="B166" s="2756"/>
      <c r="C166" s="1101" t="s">
        <v>2537</v>
      </c>
      <c r="D166" s="1129">
        <f t="shared" si="89"/>
        <v>1</v>
      </c>
      <c r="E166" s="1104">
        <f>+E148</f>
        <v>0.01</v>
      </c>
      <c r="F166" s="904">
        <v>0</v>
      </c>
      <c r="G166" s="1071">
        <f t="shared" si="93"/>
        <v>33472</v>
      </c>
      <c r="H166" s="1071">
        <f t="shared" si="93"/>
        <v>0</v>
      </c>
      <c r="I166" s="1071">
        <f t="shared" si="93"/>
        <v>3380</v>
      </c>
      <c r="J166" s="1071">
        <f t="shared" si="93"/>
        <v>10868</v>
      </c>
      <c r="K166" s="1071">
        <f t="shared" si="93"/>
        <v>3997</v>
      </c>
      <c r="L166" s="1071">
        <f t="shared" si="93"/>
        <v>0</v>
      </c>
      <c r="M166" s="1071">
        <f t="shared" si="93"/>
        <v>0</v>
      </c>
      <c r="N166" s="1071">
        <f t="shared" si="93"/>
        <v>0</v>
      </c>
    </row>
    <row r="167" spans="1:14" s="889" customFormat="1" ht="15" hidden="1" customHeight="1">
      <c r="A167" s="2773"/>
      <c r="B167" s="2756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9" customFormat="1" ht="15" hidden="1" customHeight="1">
      <c r="A168" s="2773"/>
      <c r="B168" s="2756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9" customFormat="1" ht="15" hidden="1" customHeight="1">
      <c r="A169" s="2773"/>
      <c r="B169" s="2756"/>
      <c r="C169" s="1101" t="s">
        <v>2540</v>
      </c>
      <c r="D169" s="1129">
        <f t="shared" ref="D169:E173" si="94">+D151</f>
        <v>1</v>
      </c>
      <c r="E169" s="1104">
        <f t="shared" si="94"/>
        <v>0.01</v>
      </c>
      <c r="F169" s="904">
        <v>0</v>
      </c>
      <c r="G169" s="1071">
        <f t="shared" si="93"/>
        <v>0</v>
      </c>
      <c r="H169" s="1071">
        <f t="shared" si="93"/>
        <v>0</v>
      </c>
      <c r="I169" s="1071">
        <f t="shared" si="93"/>
        <v>0</v>
      </c>
      <c r="J169" s="1071">
        <f t="shared" si="93"/>
        <v>0</v>
      </c>
      <c r="K169" s="1071">
        <f t="shared" si="93"/>
        <v>0</v>
      </c>
      <c r="L169" s="1071">
        <f t="shared" si="93"/>
        <v>0</v>
      </c>
      <c r="M169" s="1071">
        <f t="shared" si="93"/>
        <v>0</v>
      </c>
      <c r="N169" s="1071">
        <f t="shared" si="93"/>
        <v>0</v>
      </c>
    </row>
    <row r="170" spans="1:14" s="889" customFormat="1" ht="15" hidden="1" customHeight="1">
      <c r="A170" s="2773"/>
      <c r="B170" s="2756"/>
      <c r="C170" s="1105" t="s">
        <v>2638</v>
      </c>
      <c r="D170" s="1129">
        <f t="shared" si="94"/>
        <v>1</v>
      </c>
      <c r="E170" s="1104">
        <f t="shared" si="94"/>
        <v>0.01</v>
      </c>
      <c r="F170" s="904">
        <v>0</v>
      </c>
      <c r="G170" s="1071">
        <f t="shared" si="93"/>
        <v>0</v>
      </c>
      <c r="H170" s="1071">
        <f t="shared" si="93"/>
        <v>0</v>
      </c>
      <c r="I170" s="1071">
        <f t="shared" si="93"/>
        <v>0</v>
      </c>
      <c r="J170" s="1071">
        <f t="shared" si="93"/>
        <v>0</v>
      </c>
      <c r="K170" s="1071">
        <f t="shared" si="93"/>
        <v>0</v>
      </c>
      <c r="L170" s="1071">
        <f t="shared" si="93"/>
        <v>0</v>
      </c>
      <c r="M170" s="1071">
        <f t="shared" si="93"/>
        <v>0</v>
      </c>
      <c r="N170" s="1071">
        <f t="shared" si="93"/>
        <v>0</v>
      </c>
    </row>
    <row r="171" spans="1:14" s="889" customFormat="1" ht="15" hidden="1" customHeight="1">
      <c r="A171" s="2773"/>
      <c r="B171" s="2756"/>
      <c r="C171" s="1105" t="s">
        <v>2639</v>
      </c>
      <c r="D171" s="1129">
        <f t="shared" si="94"/>
        <v>1</v>
      </c>
      <c r="E171" s="1104">
        <f t="shared" si="94"/>
        <v>0.01</v>
      </c>
      <c r="F171" s="904">
        <v>0</v>
      </c>
      <c r="G171" s="1071">
        <f t="shared" si="93"/>
        <v>0</v>
      </c>
      <c r="H171" s="1071">
        <f t="shared" si="93"/>
        <v>0</v>
      </c>
      <c r="I171" s="1071">
        <f t="shared" si="93"/>
        <v>0</v>
      </c>
      <c r="J171" s="1071">
        <f t="shared" si="93"/>
        <v>0</v>
      </c>
      <c r="K171" s="1071">
        <f t="shared" si="93"/>
        <v>0</v>
      </c>
      <c r="L171" s="1071">
        <f t="shared" si="93"/>
        <v>0</v>
      </c>
      <c r="M171" s="1071">
        <f t="shared" si="93"/>
        <v>0</v>
      </c>
      <c r="N171" s="1071">
        <f t="shared" si="93"/>
        <v>0</v>
      </c>
    </row>
    <row r="172" spans="1:14" s="889" customFormat="1" ht="15" hidden="1" customHeight="1">
      <c r="A172" s="2773"/>
      <c r="B172" s="2757"/>
      <c r="C172" s="1101" t="s">
        <v>2543</v>
      </c>
      <c r="D172" s="1129">
        <f t="shared" si="94"/>
        <v>1</v>
      </c>
      <c r="E172" s="1104">
        <f t="shared" si="94"/>
        <v>0.01</v>
      </c>
      <c r="F172" s="904">
        <v>0</v>
      </c>
      <c r="G172" s="1071">
        <f t="shared" si="93"/>
        <v>0</v>
      </c>
      <c r="H172" s="1071">
        <f t="shared" si="93"/>
        <v>0</v>
      </c>
      <c r="I172" s="1071">
        <f t="shared" si="93"/>
        <v>0</v>
      </c>
      <c r="J172" s="1071">
        <f t="shared" si="93"/>
        <v>0</v>
      </c>
      <c r="K172" s="1071">
        <f t="shared" si="93"/>
        <v>0</v>
      </c>
      <c r="L172" s="1071">
        <f t="shared" si="93"/>
        <v>0</v>
      </c>
      <c r="M172" s="1071">
        <f t="shared" si="93"/>
        <v>0</v>
      </c>
      <c r="N172" s="1071">
        <f t="shared" si="93"/>
        <v>0</v>
      </c>
    </row>
    <row r="173" spans="1:14" s="889" customFormat="1" ht="15" hidden="1" customHeight="1" thickBot="1">
      <c r="A173" s="2777"/>
      <c r="B173" s="1131" t="s">
        <v>2632</v>
      </c>
      <c r="C173" s="1132" t="s">
        <v>2640</v>
      </c>
      <c r="D173" s="1133">
        <f t="shared" si="94"/>
        <v>1</v>
      </c>
      <c r="E173" s="1134">
        <f t="shared" si="94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3"/>
        <v>0</v>
      </c>
      <c r="J173" s="1071">
        <f t="shared" si="93"/>
        <v>0</v>
      </c>
      <c r="K173" s="1071">
        <f t="shared" si="93"/>
        <v>0</v>
      </c>
      <c r="L173" s="1071">
        <f t="shared" si="93"/>
        <v>0</v>
      </c>
      <c r="M173" s="1071">
        <f t="shared" si="93"/>
        <v>0</v>
      </c>
      <c r="N173" s="1071">
        <f t="shared" si="93"/>
        <v>0</v>
      </c>
    </row>
    <row r="174" spans="1:14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SUM(G174:N174)</f>
        <v>5168436</v>
      </c>
      <c r="G174" s="1142">
        <f>SUM(G161:G173)+G159</f>
        <v>869163</v>
      </c>
      <c r="H174" s="1142">
        <f t="shared" ref="H174:N174" si="95">SUM(H161:H173)+H159</f>
        <v>624799</v>
      </c>
      <c r="I174" s="1142">
        <f t="shared" si="95"/>
        <v>58877</v>
      </c>
      <c r="J174" s="1142">
        <f t="shared" si="95"/>
        <v>3307304</v>
      </c>
      <c r="K174" s="1142">
        <f>SUM(K161:K173)+K159</f>
        <v>308293</v>
      </c>
      <c r="L174" s="1142">
        <f t="shared" si="95"/>
        <v>0</v>
      </c>
      <c r="M174" s="1142">
        <f t="shared" si="95"/>
        <v>0</v>
      </c>
      <c r="N174" s="1143">
        <f t="shared" si="95"/>
        <v>0</v>
      </c>
    </row>
    <row r="175" spans="1:14" s="889" customFormat="1" ht="15" customHeight="1">
      <c r="A175" s="1286"/>
      <c r="B175" s="1286"/>
      <c r="C175" s="917"/>
      <c r="D175" s="917"/>
      <c r="E175" s="1286"/>
      <c r="F175" s="1144"/>
      <c r="G175" s="908"/>
      <c r="H175" s="908"/>
      <c r="I175" s="908"/>
      <c r="J175" s="908"/>
      <c r="K175" s="908"/>
      <c r="L175" s="908"/>
      <c r="M175" s="908"/>
      <c r="N175" s="908"/>
    </row>
    <row r="176" spans="1:14" s="889" customFormat="1" ht="15" customHeight="1">
      <c r="A176" s="1286"/>
      <c r="B176" s="1286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2643</v>
      </c>
    </row>
    <row r="177" spans="1:14" s="889" customFormat="1" ht="15" customHeight="1">
      <c r="A177" s="1286"/>
      <c r="B177" s="1286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9" customFormat="1" ht="15" customHeight="1">
      <c r="A178" s="870"/>
      <c r="B178" s="871"/>
      <c r="C178" s="871"/>
      <c r="D178" s="2767" t="s">
        <v>2623</v>
      </c>
      <c r="E178" s="2767" t="s">
        <v>2624</v>
      </c>
      <c r="F178" s="1083" t="s">
        <v>2505</v>
      </c>
      <c r="G178" s="1084" t="str">
        <f t="shared" ref="G178:N178" si="96">+G86</f>
        <v>工事1</v>
      </c>
      <c r="H178" s="1084" t="str">
        <f t="shared" si="96"/>
        <v>工事2</v>
      </c>
      <c r="I178" s="1084" t="str">
        <f t="shared" si="96"/>
        <v>工事3</v>
      </c>
      <c r="J178" s="1084" t="str">
        <f t="shared" si="96"/>
        <v>工事4</v>
      </c>
      <c r="K178" s="1084" t="str">
        <f t="shared" si="96"/>
        <v>工事5</v>
      </c>
      <c r="L178" s="1084">
        <f t="shared" si="96"/>
        <v>0</v>
      </c>
      <c r="M178" s="1084">
        <f t="shared" si="96"/>
        <v>0</v>
      </c>
      <c r="N178" s="1085">
        <f t="shared" si="96"/>
        <v>0</v>
      </c>
    </row>
    <row r="179" spans="1:14" s="889" customFormat="1" ht="15" customHeight="1">
      <c r="A179" s="2769" t="s">
        <v>2645</v>
      </c>
      <c r="B179" s="2770"/>
      <c r="C179" s="2771"/>
      <c r="D179" s="2768"/>
      <c r="E179" s="2768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9" customFormat="1" ht="15" customHeight="1">
      <c r="A180" s="2772"/>
      <c r="B180" s="1095" t="s">
        <v>2646</v>
      </c>
      <c r="C180" s="1096"/>
      <c r="D180" s="1097"/>
      <c r="E180" s="1098"/>
      <c r="F180" s="1099">
        <f t="shared" ref="F180:F187" si="97">SUM(G180:N180)</f>
        <v>175542663</v>
      </c>
      <c r="G180" s="1100">
        <f>+G91-G135-G134-G130-G131</f>
        <v>33350733</v>
      </c>
      <c r="H180" s="1100">
        <f t="shared" ref="H180:N180" si="98">+H91-H135-H134-H130-H131</f>
        <v>22308051</v>
      </c>
      <c r="I180" s="1100">
        <f t="shared" si="98"/>
        <v>2130068</v>
      </c>
      <c r="J180" s="1100">
        <f t="shared" si="98"/>
        <v>107545648</v>
      </c>
      <c r="K180" s="1100">
        <f>+K91-K135-K134-K130-K131</f>
        <v>10208163</v>
      </c>
      <c r="L180" s="1100">
        <f t="shared" si="98"/>
        <v>0</v>
      </c>
      <c r="M180" s="1100">
        <f t="shared" si="98"/>
        <v>0</v>
      </c>
      <c r="N180" s="1113">
        <f t="shared" si="98"/>
        <v>0</v>
      </c>
    </row>
    <row r="181" spans="1:14" s="889" customFormat="1" ht="15" customHeight="1">
      <c r="A181" s="2773"/>
      <c r="B181" s="2758" t="s">
        <v>2529</v>
      </c>
      <c r="C181" s="1101" t="s">
        <v>2530</v>
      </c>
      <c r="D181" s="1102">
        <v>1</v>
      </c>
      <c r="E181" s="1103" t="s">
        <v>2627</v>
      </c>
      <c r="F181" s="904">
        <f t="shared" si="97"/>
        <v>0</v>
      </c>
      <c r="G181" s="905">
        <f>IF(G117&gt;=G118,+G117+G159+G98-G99-G100-G135,G117+G159)</f>
        <v>0</v>
      </c>
      <c r="H181" s="905">
        <f t="shared" ref="H181:N181" si="99">IF(H117&gt;=H118,+H117+H159+H98-H99-H100-H135,H117+H159)</f>
        <v>0</v>
      </c>
      <c r="I181" s="905">
        <f t="shared" si="99"/>
        <v>0</v>
      </c>
      <c r="J181" s="905">
        <f t="shared" si="99"/>
        <v>0</v>
      </c>
      <c r="K181" s="905">
        <f t="shared" si="99"/>
        <v>0</v>
      </c>
      <c r="L181" s="905">
        <f t="shared" si="99"/>
        <v>0</v>
      </c>
      <c r="M181" s="905">
        <f t="shared" si="99"/>
        <v>0</v>
      </c>
      <c r="N181" s="906">
        <f t="shared" si="99"/>
        <v>0</v>
      </c>
    </row>
    <row r="182" spans="1:14" s="889" customFormat="1" ht="15" customHeight="1">
      <c r="A182" s="2773"/>
      <c r="B182" s="2756"/>
      <c r="C182" s="1101" t="s">
        <v>2531</v>
      </c>
      <c r="D182" s="1102">
        <v>1</v>
      </c>
      <c r="E182" s="1103" t="s">
        <v>2627</v>
      </c>
      <c r="F182" s="904">
        <f t="shared" si="97"/>
        <v>170319246</v>
      </c>
      <c r="G182" s="905">
        <f>IF(G117&gt;=G118,+G118+G161,G118+G161+G98-G99-G100-G135)</f>
        <v>29970061</v>
      </c>
      <c r="H182" s="905">
        <f t="shared" ref="H182:N182" si="100">IF(H117&gt;=H118,+H118+H161,H118+H161+H98-H99-H100-H135)</f>
        <v>22308051</v>
      </c>
      <c r="I182" s="905">
        <f t="shared" si="100"/>
        <v>1788688</v>
      </c>
      <c r="J182" s="905">
        <f t="shared" si="100"/>
        <v>106447980</v>
      </c>
      <c r="K182" s="905">
        <f t="shared" si="100"/>
        <v>9804466</v>
      </c>
      <c r="L182" s="905">
        <f t="shared" si="100"/>
        <v>0</v>
      </c>
      <c r="M182" s="905">
        <f t="shared" si="100"/>
        <v>0</v>
      </c>
      <c r="N182" s="906">
        <f t="shared" si="100"/>
        <v>0</v>
      </c>
    </row>
    <row r="183" spans="1:14" s="889" customFormat="1" ht="15" customHeight="1">
      <c r="A183" s="2773"/>
      <c r="B183" s="2756"/>
      <c r="C183" s="1101" t="s">
        <v>2628</v>
      </c>
      <c r="D183" s="1102">
        <v>1</v>
      </c>
      <c r="E183" s="1103" t="s">
        <v>2627</v>
      </c>
      <c r="F183" s="904">
        <f t="shared" si="97"/>
        <v>0</v>
      </c>
      <c r="G183" s="905">
        <f>+G119+G162</f>
        <v>0</v>
      </c>
      <c r="H183" s="905">
        <f t="shared" ref="H183:N187" si="101">+H119+H162</f>
        <v>0</v>
      </c>
      <c r="I183" s="905">
        <f t="shared" si="101"/>
        <v>0</v>
      </c>
      <c r="J183" s="905">
        <f t="shared" si="101"/>
        <v>0</v>
      </c>
      <c r="K183" s="905">
        <f t="shared" si="101"/>
        <v>0</v>
      </c>
      <c r="L183" s="905">
        <f t="shared" si="101"/>
        <v>0</v>
      </c>
      <c r="M183" s="905">
        <f t="shared" si="101"/>
        <v>0</v>
      </c>
      <c r="N183" s="906">
        <f t="shared" si="101"/>
        <v>0</v>
      </c>
    </row>
    <row r="184" spans="1:14" s="889" customFormat="1" ht="15" customHeight="1">
      <c r="A184" s="2773"/>
      <c r="B184" s="2757"/>
      <c r="C184" s="1101" t="s">
        <v>2629</v>
      </c>
      <c r="D184" s="1102">
        <v>1</v>
      </c>
      <c r="E184" s="1103" t="s">
        <v>2627</v>
      </c>
      <c r="F184" s="904">
        <f t="shared" si="97"/>
        <v>0</v>
      </c>
      <c r="G184" s="905">
        <f>+G120+G163</f>
        <v>0</v>
      </c>
      <c r="H184" s="905">
        <f t="shared" si="101"/>
        <v>0</v>
      </c>
      <c r="I184" s="905">
        <f t="shared" si="101"/>
        <v>0</v>
      </c>
      <c r="J184" s="905">
        <f t="shared" si="101"/>
        <v>0</v>
      </c>
      <c r="K184" s="905">
        <f t="shared" si="101"/>
        <v>0</v>
      </c>
      <c r="L184" s="905">
        <f t="shared" si="101"/>
        <v>0</v>
      </c>
      <c r="M184" s="905">
        <f t="shared" si="101"/>
        <v>0</v>
      </c>
      <c r="N184" s="906">
        <f t="shared" si="101"/>
        <v>0</v>
      </c>
    </row>
    <row r="185" spans="1:14" s="889" customFormat="1" ht="15" customHeight="1">
      <c r="A185" s="2773"/>
      <c r="B185" s="2758" t="s">
        <v>2534</v>
      </c>
      <c r="C185" s="1101" t="s">
        <v>2630</v>
      </c>
      <c r="D185" s="1102">
        <v>1</v>
      </c>
      <c r="E185" s="1104">
        <v>0.02</v>
      </c>
      <c r="F185" s="904">
        <f t="shared" si="97"/>
        <v>0</v>
      </c>
      <c r="G185" s="905">
        <f>+G121+G164</f>
        <v>0</v>
      </c>
      <c r="H185" s="905">
        <f t="shared" si="101"/>
        <v>0</v>
      </c>
      <c r="I185" s="905">
        <f t="shared" si="101"/>
        <v>0</v>
      </c>
      <c r="J185" s="905">
        <f t="shared" si="101"/>
        <v>0</v>
      </c>
      <c r="K185" s="905">
        <f t="shared" si="101"/>
        <v>0</v>
      </c>
      <c r="L185" s="905">
        <f t="shared" si="101"/>
        <v>0</v>
      </c>
      <c r="M185" s="905">
        <f t="shared" si="101"/>
        <v>0</v>
      </c>
      <c r="N185" s="906">
        <f t="shared" si="101"/>
        <v>0</v>
      </c>
    </row>
    <row r="186" spans="1:14" s="889" customFormat="1" ht="15" customHeight="1">
      <c r="A186" s="2773"/>
      <c r="B186" s="2756"/>
      <c r="C186" s="1101" t="s">
        <v>2631</v>
      </c>
      <c r="D186" s="1102">
        <v>1</v>
      </c>
      <c r="E186" s="1104">
        <v>0.02</v>
      </c>
      <c r="F186" s="904">
        <f t="shared" si="97"/>
        <v>0</v>
      </c>
      <c r="G186" s="905">
        <f>+G122+G165</f>
        <v>0</v>
      </c>
      <c r="H186" s="905">
        <f t="shared" si="101"/>
        <v>0</v>
      </c>
      <c r="I186" s="905">
        <f t="shared" si="101"/>
        <v>0</v>
      </c>
      <c r="J186" s="905">
        <f t="shared" si="101"/>
        <v>0</v>
      </c>
      <c r="K186" s="905">
        <f t="shared" si="101"/>
        <v>0</v>
      </c>
      <c r="L186" s="905">
        <f t="shared" si="101"/>
        <v>0</v>
      </c>
      <c r="M186" s="905">
        <f t="shared" si="101"/>
        <v>0</v>
      </c>
      <c r="N186" s="906">
        <f t="shared" si="101"/>
        <v>0</v>
      </c>
    </row>
    <row r="187" spans="1:14" s="889" customFormat="1" ht="15" customHeight="1">
      <c r="A187" s="2773"/>
      <c r="B187" s="2756"/>
      <c r="C187" s="1101" t="s">
        <v>2537</v>
      </c>
      <c r="D187" s="1102">
        <v>1</v>
      </c>
      <c r="E187" s="1104">
        <v>0.02</v>
      </c>
      <c r="F187" s="904">
        <f t="shared" si="97"/>
        <v>5223417</v>
      </c>
      <c r="G187" s="905">
        <f>+G123+G166</f>
        <v>3380672</v>
      </c>
      <c r="H187" s="905">
        <f t="shared" si="101"/>
        <v>0</v>
      </c>
      <c r="I187" s="905">
        <f t="shared" si="101"/>
        <v>341380</v>
      </c>
      <c r="J187" s="905">
        <f t="shared" si="101"/>
        <v>1097668</v>
      </c>
      <c r="K187" s="905">
        <f t="shared" si="101"/>
        <v>403697</v>
      </c>
      <c r="L187" s="905">
        <f t="shared" si="101"/>
        <v>0</v>
      </c>
      <c r="M187" s="905">
        <f t="shared" si="101"/>
        <v>0</v>
      </c>
      <c r="N187" s="906">
        <f t="shared" si="101"/>
        <v>0</v>
      </c>
    </row>
    <row r="188" spans="1:14" s="889" customFormat="1" ht="15" customHeight="1">
      <c r="A188" s="2773"/>
      <c r="B188" s="2756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6"/>
    </row>
    <row r="189" spans="1:14" s="889" customFormat="1" ht="15" customHeight="1">
      <c r="A189" s="2773"/>
      <c r="B189" s="2756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6"/>
    </row>
    <row r="190" spans="1:14" s="889" customFormat="1" ht="15" customHeight="1">
      <c r="A190" s="2773"/>
      <c r="B190" s="2756"/>
      <c r="C190" s="1101" t="s">
        <v>2540</v>
      </c>
      <c r="D190" s="1102">
        <v>1</v>
      </c>
      <c r="E190" s="1104">
        <v>0.02</v>
      </c>
      <c r="F190" s="904">
        <f>SUM(G190:N190)</f>
        <v>0</v>
      </c>
      <c r="G190" s="905">
        <f t="shared" ref="G190:N193" si="102">+G126+G169</f>
        <v>0</v>
      </c>
      <c r="H190" s="905">
        <f t="shared" si="102"/>
        <v>0</v>
      </c>
      <c r="I190" s="905">
        <f t="shared" si="102"/>
        <v>0</v>
      </c>
      <c r="J190" s="905">
        <f t="shared" si="102"/>
        <v>0</v>
      </c>
      <c r="K190" s="905">
        <f t="shared" si="102"/>
        <v>0</v>
      </c>
      <c r="L190" s="905">
        <f t="shared" si="102"/>
        <v>0</v>
      </c>
      <c r="M190" s="905">
        <f t="shared" si="102"/>
        <v>0</v>
      </c>
      <c r="N190" s="906">
        <f t="shared" si="102"/>
        <v>0</v>
      </c>
    </row>
    <row r="191" spans="1:14" s="889" customFormat="1" ht="15" customHeight="1">
      <c r="A191" s="2773"/>
      <c r="B191" s="2756"/>
      <c r="C191" s="1105" t="s">
        <v>2541</v>
      </c>
      <c r="D191" s="1102">
        <v>1</v>
      </c>
      <c r="E191" s="1104">
        <v>0.02</v>
      </c>
      <c r="F191" s="904">
        <f>SUM(G191:N191)</f>
        <v>0</v>
      </c>
      <c r="G191" s="905">
        <f t="shared" si="102"/>
        <v>0</v>
      </c>
      <c r="H191" s="905">
        <f t="shared" si="102"/>
        <v>0</v>
      </c>
      <c r="I191" s="905">
        <f t="shared" si="102"/>
        <v>0</v>
      </c>
      <c r="J191" s="905">
        <f t="shared" si="102"/>
        <v>0</v>
      </c>
      <c r="K191" s="905">
        <f t="shared" si="102"/>
        <v>0</v>
      </c>
      <c r="L191" s="905">
        <f t="shared" si="102"/>
        <v>0</v>
      </c>
      <c r="M191" s="905">
        <f t="shared" si="102"/>
        <v>0</v>
      </c>
      <c r="N191" s="906">
        <f t="shared" si="102"/>
        <v>0</v>
      </c>
    </row>
    <row r="192" spans="1:14" s="889" customFormat="1" ht="14.25" customHeight="1">
      <c r="A192" s="2773"/>
      <c r="B192" s="2756"/>
      <c r="C192" s="1105" t="s">
        <v>2619</v>
      </c>
      <c r="D192" s="1102">
        <v>1</v>
      </c>
      <c r="E192" s="1104">
        <v>0.02</v>
      </c>
      <c r="F192" s="904">
        <f>SUM(G192:N192)</f>
        <v>0</v>
      </c>
      <c r="G192" s="905">
        <f t="shared" si="102"/>
        <v>0</v>
      </c>
      <c r="H192" s="905">
        <f t="shared" si="102"/>
        <v>0</v>
      </c>
      <c r="I192" s="905">
        <f t="shared" si="102"/>
        <v>0</v>
      </c>
      <c r="J192" s="905">
        <f t="shared" si="102"/>
        <v>0</v>
      </c>
      <c r="K192" s="905">
        <f t="shared" si="102"/>
        <v>0</v>
      </c>
      <c r="L192" s="905">
        <f t="shared" si="102"/>
        <v>0</v>
      </c>
      <c r="M192" s="905">
        <f t="shared" si="102"/>
        <v>0</v>
      </c>
      <c r="N192" s="906">
        <f t="shared" si="102"/>
        <v>0</v>
      </c>
    </row>
    <row r="193" spans="1:14" s="889" customFormat="1" ht="14.25" customHeight="1">
      <c r="A193" s="2773"/>
      <c r="B193" s="2757"/>
      <c r="C193" s="1101" t="s">
        <v>2543</v>
      </c>
      <c r="D193" s="1102">
        <v>1</v>
      </c>
      <c r="E193" s="1104">
        <v>0.02</v>
      </c>
      <c r="F193" s="904">
        <f>SUM(G193:N193)</f>
        <v>0</v>
      </c>
      <c r="G193" s="905">
        <f t="shared" si="102"/>
        <v>0</v>
      </c>
      <c r="H193" s="905">
        <f t="shared" si="102"/>
        <v>0</v>
      </c>
      <c r="I193" s="905">
        <f t="shared" si="102"/>
        <v>0</v>
      </c>
      <c r="J193" s="905">
        <f t="shared" si="102"/>
        <v>0</v>
      </c>
      <c r="K193" s="905">
        <f t="shared" si="102"/>
        <v>0</v>
      </c>
      <c r="L193" s="905">
        <f t="shared" si="102"/>
        <v>0</v>
      </c>
      <c r="M193" s="905">
        <f t="shared" si="102"/>
        <v>0</v>
      </c>
      <c r="N193" s="906">
        <f t="shared" si="102"/>
        <v>0</v>
      </c>
    </row>
    <row r="194" spans="1:14" s="889" customFormat="1" ht="14.25" customHeight="1">
      <c r="A194" s="2774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SUM(G194:N194)</f>
        <v>471415</v>
      </c>
      <c r="G194" s="1064">
        <f>SUM(G130:G136)</f>
        <v>75152</v>
      </c>
      <c r="H194" s="1064">
        <f t="shared" ref="H194:N194" si="103">SUM(H130:H136)</f>
        <v>10832</v>
      </c>
      <c r="I194" s="1064">
        <f t="shared" si="103"/>
        <v>1593</v>
      </c>
      <c r="J194" s="1064">
        <f t="shared" si="103"/>
        <v>383838</v>
      </c>
      <c r="K194" s="1064">
        <f>SUM(K130:K136)</f>
        <v>0</v>
      </c>
      <c r="L194" s="1064">
        <f t="shared" si="103"/>
        <v>0</v>
      </c>
      <c r="M194" s="1064">
        <f t="shared" si="103"/>
        <v>0</v>
      </c>
      <c r="N194" s="1065">
        <f t="shared" si="103"/>
        <v>0</v>
      </c>
    </row>
    <row r="195" spans="1:14" s="889" customFormat="1" ht="14.25" customHeight="1">
      <c r="A195" s="1110"/>
      <c r="B195" s="1111"/>
      <c r="C195" s="1112"/>
      <c r="D195" s="2775"/>
      <c r="E195" s="2775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9" customFormat="1" ht="14.25" customHeight="1">
      <c r="A196" s="2769" t="s">
        <v>2648</v>
      </c>
      <c r="B196" s="2770"/>
      <c r="C196" s="2771"/>
      <c r="D196" s="2776"/>
      <c r="E196" s="2776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9" customFormat="1" ht="14.25" customHeight="1">
      <c r="A197" s="2772"/>
      <c r="B197" s="275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N197" si="104">IF(H181=0,0,+H282/100)</f>
        <v>0</v>
      </c>
      <c r="I197" s="1118">
        <f t="shared" si="104"/>
        <v>0</v>
      </c>
      <c r="J197" s="1118">
        <f t="shared" si="104"/>
        <v>0</v>
      </c>
      <c r="K197" s="1118">
        <f>IF(K181=0,0,+K282/100)</f>
        <v>0</v>
      </c>
      <c r="L197" s="1118">
        <f t="shared" si="104"/>
        <v>0</v>
      </c>
      <c r="M197" s="1118">
        <f t="shared" si="104"/>
        <v>0</v>
      </c>
      <c r="N197" s="1119">
        <f t="shared" si="104"/>
        <v>0</v>
      </c>
    </row>
    <row r="198" spans="1:14" s="889" customFormat="1" ht="14.25" customHeight="1">
      <c r="A198" s="2773"/>
      <c r="B198" s="2756"/>
      <c r="C198" s="1120"/>
      <c r="D198" s="1121">
        <f>+D181</f>
        <v>1</v>
      </c>
      <c r="E198" s="1122" t="s">
        <v>2627</v>
      </c>
      <c r="F198" s="1055">
        <f>SUM(G198:N198)</f>
        <v>0</v>
      </c>
      <c r="G198" s="1071">
        <f>ROUNDDOWN(G181*G197*$D198,0)</f>
        <v>0</v>
      </c>
      <c r="H198" s="1071">
        <f t="shared" ref="H198:N198" si="105">ROUNDDOWN(H181*H197*$D198,0)</f>
        <v>0</v>
      </c>
      <c r="I198" s="1071">
        <f t="shared" si="105"/>
        <v>0</v>
      </c>
      <c r="J198" s="1071">
        <f t="shared" si="105"/>
        <v>0</v>
      </c>
      <c r="K198" s="1071">
        <f>ROUNDDOWN(K181*K197*$D198,0)</f>
        <v>0</v>
      </c>
      <c r="L198" s="1071">
        <f t="shared" si="105"/>
        <v>0</v>
      </c>
      <c r="M198" s="1071">
        <f t="shared" si="105"/>
        <v>0</v>
      </c>
      <c r="N198" s="1072">
        <f t="shared" si="105"/>
        <v>0</v>
      </c>
    </row>
    <row r="199" spans="1:14" s="889" customFormat="1" ht="14.25" customHeight="1">
      <c r="A199" s="2773"/>
      <c r="B199" s="2756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0.1201</v>
      </c>
      <c r="H199" s="1126">
        <f t="shared" ref="H199:N199" si="106">IF(H182=0,0,+H290/100)</f>
        <v>0.1023</v>
      </c>
      <c r="I199" s="1126">
        <f t="shared" si="106"/>
        <v>0.1201</v>
      </c>
      <c r="J199" s="1126">
        <f t="shared" si="106"/>
        <v>0.1201</v>
      </c>
      <c r="K199" s="1126">
        <f>IF(K182=0,0,+K290/100)</f>
        <v>0.1201</v>
      </c>
      <c r="L199" s="1126">
        <f t="shared" si="106"/>
        <v>0</v>
      </c>
      <c r="M199" s="1126">
        <f t="shared" si="106"/>
        <v>0</v>
      </c>
      <c r="N199" s="1127">
        <f t="shared" si="106"/>
        <v>0</v>
      </c>
    </row>
    <row r="200" spans="1:14" s="889" customFormat="1" ht="14.25" customHeight="1">
      <c r="A200" s="2773"/>
      <c r="B200" s="2756"/>
      <c r="C200" s="1120"/>
      <c r="D200" s="1128">
        <f t="shared" ref="D200:D205" si="107">+D182</f>
        <v>1</v>
      </c>
      <c r="E200" s="1122" t="s">
        <v>2627</v>
      </c>
      <c r="F200" s="1055">
        <f t="shared" ref="F200:F205" si="108">SUM(G200:N200)</f>
        <v>20058256</v>
      </c>
      <c r="G200" s="1071">
        <f>ROUNDDOWN(G182*G199*$D200,0)</f>
        <v>3599404</v>
      </c>
      <c r="H200" s="1071">
        <f t="shared" ref="H200:N200" si="109">ROUNDDOWN(H182*H199*$D200,0)</f>
        <v>2282113</v>
      </c>
      <c r="I200" s="1071">
        <f t="shared" si="109"/>
        <v>214821</v>
      </c>
      <c r="J200" s="1071">
        <f t="shared" si="109"/>
        <v>12784402</v>
      </c>
      <c r="K200" s="1071">
        <f>ROUNDDOWN(K182*K199*$D200,0)</f>
        <v>1177516</v>
      </c>
      <c r="L200" s="1071">
        <f t="shared" si="109"/>
        <v>0</v>
      </c>
      <c r="M200" s="1071">
        <f t="shared" si="109"/>
        <v>0</v>
      </c>
      <c r="N200" s="1072">
        <f t="shared" si="109"/>
        <v>0</v>
      </c>
    </row>
    <row r="201" spans="1:14" s="889" customFormat="1" ht="14.25" customHeight="1">
      <c r="A201" s="2773"/>
      <c r="B201" s="2756"/>
      <c r="C201" s="1101" t="s">
        <v>2553</v>
      </c>
      <c r="D201" s="1129">
        <f t="shared" si="107"/>
        <v>1</v>
      </c>
      <c r="E201" s="1122" t="s">
        <v>2627</v>
      </c>
      <c r="F201" s="1055">
        <f t="shared" si="108"/>
        <v>0</v>
      </c>
      <c r="G201" s="1071">
        <f t="shared" ref="G201:N201" si="110">ROUNDDOWN(G183*G197*$D201,0)</f>
        <v>0</v>
      </c>
      <c r="H201" s="1071">
        <f t="shared" si="110"/>
        <v>0</v>
      </c>
      <c r="I201" s="1071">
        <f t="shared" si="110"/>
        <v>0</v>
      </c>
      <c r="J201" s="1071">
        <f t="shared" si="110"/>
        <v>0</v>
      </c>
      <c r="K201" s="1071">
        <f>ROUNDDOWN(K183*K197*$D201,0)</f>
        <v>0</v>
      </c>
      <c r="L201" s="1071">
        <f t="shared" si="110"/>
        <v>0</v>
      </c>
      <c r="M201" s="1071">
        <f t="shared" si="110"/>
        <v>0</v>
      </c>
      <c r="N201" s="1072">
        <f t="shared" si="110"/>
        <v>0</v>
      </c>
    </row>
    <row r="202" spans="1:14" s="889" customFormat="1" ht="14.25" customHeight="1">
      <c r="A202" s="2773"/>
      <c r="B202" s="2757"/>
      <c r="C202" s="1101" t="s">
        <v>2554</v>
      </c>
      <c r="D202" s="1129">
        <f t="shared" si="107"/>
        <v>1</v>
      </c>
      <c r="E202" s="1122" t="s">
        <v>2627</v>
      </c>
      <c r="F202" s="1055">
        <f t="shared" si="108"/>
        <v>0</v>
      </c>
      <c r="G202" s="1071">
        <f>ROUNDDOWN(G184*G199*$D202,0)</f>
        <v>0</v>
      </c>
      <c r="H202" s="1071">
        <f t="shared" ref="H202:N202" si="111">ROUNDDOWN(H184*H199*$D202,0)</f>
        <v>0</v>
      </c>
      <c r="I202" s="1071">
        <f t="shared" si="111"/>
        <v>0</v>
      </c>
      <c r="J202" s="1071">
        <f t="shared" si="111"/>
        <v>0</v>
      </c>
      <c r="K202" s="1071">
        <f>ROUNDDOWN(K184*K199*$D202,0)</f>
        <v>0</v>
      </c>
      <c r="L202" s="1071">
        <f t="shared" si="111"/>
        <v>0</v>
      </c>
      <c r="M202" s="1071">
        <f t="shared" si="111"/>
        <v>0</v>
      </c>
      <c r="N202" s="1072">
        <f t="shared" si="111"/>
        <v>0</v>
      </c>
    </row>
    <row r="203" spans="1:14" s="889" customFormat="1" ht="14.25" customHeight="1">
      <c r="A203" s="2773"/>
      <c r="B203" s="2758" t="s">
        <v>2534</v>
      </c>
      <c r="C203" s="1101" t="s">
        <v>2630</v>
      </c>
      <c r="D203" s="1129">
        <f t="shared" si="107"/>
        <v>1</v>
      </c>
      <c r="E203" s="1104">
        <f>+E185</f>
        <v>0.02</v>
      </c>
      <c r="F203" s="1055">
        <f t="shared" si="108"/>
        <v>0</v>
      </c>
      <c r="G203" s="1071">
        <f t="shared" ref="G203:N205" si="112">ROUNDDOWN(G185*$E203*$D203,0)</f>
        <v>0</v>
      </c>
      <c r="H203" s="1071">
        <f t="shared" si="112"/>
        <v>0</v>
      </c>
      <c r="I203" s="1071">
        <f t="shared" si="112"/>
        <v>0</v>
      </c>
      <c r="J203" s="1071">
        <f t="shared" si="112"/>
        <v>0</v>
      </c>
      <c r="K203" s="1071">
        <f t="shared" si="112"/>
        <v>0</v>
      </c>
      <c r="L203" s="1071">
        <f t="shared" si="112"/>
        <v>0</v>
      </c>
      <c r="M203" s="1071">
        <f t="shared" si="112"/>
        <v>0</v>
      </c>
      <c r="N203" s="1072">
        <f t="shared" si="112"/>
        <v>0</v>
      </c>
    </row>
    <row r="204" spans="1:14" s="889" customFormat="1" ht="14.25" customHeight="1">
      <c r="A204" s="2773"/>
      <c r="B204" s="2756"/>
      <c r="C204" s="1101" t="s">
        <v>2636</v>
      </c>
      <c r="D204" s="1129">
        <f t="shared" si="107"/>
        <v>1</v>
      </c>
      <c r="E204" s="1104">
        <f>+E186</f>
        <v>0.02</v>
      </c>
      <c r="F204" s="1055">
        <f t="shared" si="108"/>
        <v>0</v>
      </c>
      <c r="G204" s="1071">
        <f t="shared" si="112"/>
        <v>0</v>
      </c>
      <c r="H204" s="1071">
        <f t="shared" si="112"/>
        <v>0</v>
      </c>
      <c r="I204" s="1071">
        <f t="shared" si="112"/>
        <v>0</v>
      </c>
      <c r="J204" s="1071">
        <f t="shared" si="112"/>
        <v>0</v>
      </c>
      <c r="K204" s="1071">
        <f>ROUNDDOWN(K186*$E204*$D204,0)</f>
        <v>0</v>
      </c>
      <c r="L204" s="1071">
        <f t="shared" si="112"/>
        <v>0</v>
      </c>
      <c r="M204" s="1071">
        <f t="shared" si="112"/>
        <v>0</v>
      </c>
      <c r="N204" s="1072">
        <f t="shared" si="112"/>
        <v>0</v>
      </c>
    </row>
    <row r="205" spans="1:14" s="889" customFormat="1" ht="14.25" customHeight="1">
      <c r="A205" s="2773"/>
      <c r="B205" s="2756"/>
      <c r="C205" s="1101" t="s">
        <v>2537</v>
      </c>
      <c r="D205" s="1129">
        <f t="shared" si="107"/>
        <v>1</v>
      </c>
      <c r="E205" s="1104">
        <f>+E187</f>
        <v>0.02</v>
      </c>
      <c r="F205" s="1055">
        <f t="shared" si="108"/>
        <v>104466</v>
      </c>
      <c r="G205" s="1071">
        <f>ROUNDDOWN(G187*$E205*$D205,0)</f>
        <v>67613</v>
      </c>
      <c r="H205" s="1071">
        <f t="shared" si="112"/>
        <v>0</v>
      </c>
      <c r="I205" s="1071">
        <f t="shared" si="112"/>
        <v>6827</v>
      </c>
      <c r="J205" s="1071">
        <f t="shared" si="112"/>
        <v>21953</v>
      </c>
      <c r="K205" s="1071">
        <f>ROUNDDOWN(K187*$E205*$D205,0)</f>
        <v>8073</v>
      </c>
      <c r="L205" s="1071">
        <f t="shared" si="112"/>
        <v>0</v>
      </c>
      <c r="M205" s="1071">
        <f t="shared" si="112"/>
        <v>0</v>
      </c>
      <c r="N205" s="1072">
        <f t="shared" si="112"/>
        <v>0</v>
      </c>
    </row>
    <row r="206" spans="1:14" s="889" customFormat="1" ht="14.25" customHeight="1">
      <c r="A206" s="2773"/>
      <c r="B206" s="2756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9" customFormat="1" ht="14.25" customHeight="1">
      <c r="A207" s="2773"/>
      <c r="B207" s="2756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9" customFormat="1" ht="14.25" customHeight="1">
      <c r="A208" s="2773"/>
      <c r="B208" s="2756"/>
      <c r="C208" s="1101" t="s">
        <v>2540</v>
      </c>
      <c r="D208" s="1129">
        <f t="shared" ref="D208:E211" si="113">+D190</f>
        <v>1</v>
      </c>
      <c r="E208" s="1104">
        <f t="shared" si="113"/>
        <v>0.02</v>
      </c>
      <c r="F208" s="1055">
        <f t="shared" ref="F208:F216" si="114">SUM(G208:N208)</f>
        <v>0</v>
      </c>
      <c r="G208" s="1071">
        <f t="shared" ref="G208:N211" si="115">ROUNDDOWN(G190*$E208*$D208,0)</f>
        <v>0</v>
      </c>
      <c r="H208" s="1071">
        <f t="shared" si="115"/>
        <v>0</v>
      </c>
      <c r="I208" s="1071">
        <f t="shared" si="115"/>
        <v>0</v>
      </c>
      <c r="J208" s="1071">
        <f t="shared" si="115"/>
        <v>0</v>
      </c>
      <c r="K208" s="1071">
        <f>ROUNDDOWN(K190*$E208*$D208,0)</f>
        <v>0</v>
      </c>
      <c r="L208" s="1071">
        <f t="shared" si="115"/>
        <v>0</v>
      </c>
      <c r="M208" s="1071">
        <f t="shared" si="115"/>
        <v>0</v>
      </c>
      <c r="N208" s="1072">
        <f t="shared" si="115"/>
        <v>0</v>
      </c>
    </row>
    <row r="209" spans="1:14" s="889" customFormat="1" ht="14.25" customHeight="1">
      <c r="A209" s="2773"/>
      <c r="B209" s="2756"/>
      <c r="C209" s="1105" t="s">
        <v>2541</v>
      </c>
      <c r="D209" s="1129">
        <f t="shared" si="113"/>
        <v>1</v>
      </c>
      <c r="E209" s="1104">
        <f t="shared" si="113"/>
        <v>0.02</v>
      </c>
      <c r="F209" s="1055">
        <f t="shared" si="114"/>
        <v>0</v>
      </c>
      <c r="G209" s="1071">
        <f t="shared" si="115"/>
        <v>0</v>
      </c>
      <c r="H209" s="1071">
        <f t="shared" si="115"/>
        <v>0</v>
      </c>
      <c r="I209" s="1071">
        <f t="shared" si="115"/>
        <v>0</v>
      </c>
      <c r="J209" s="1071">
        <f t="shared" si="115"/>
        <v>0</v>
      </c>
      <c r="K209" s="1071">
        <f>ROUNDDOWN(K191*$E209*$D209,0)</f>
        <v>0</v>
      </c>
      <c r="L209" s="1071">
        <f t="shared" si="115"/>
        <v>0</v>
      </c>
      <c r="M209" s="1071">
        <f t="shared" si="115"/>
        <v>0</v>
      </c>
      <c r="N209" s="1072">
        <f t="shared" si="115"/>
        <v>0</v>
      </c>
    </row>
    <row r="210" spans="1:14" s="889" customFormat="1" ht="14.25" customHeight="1">
      <c r="A210" s="2773"/>
      <c r="B210" s="2756"/>
      <c r="C210" s="1105" t="s">
        <v>2619</v>
      </c>
      <c r="D210" s="1129">
        <f t="shared" si="113"/>
        <v>1</v>
      </c>
      <c r="E210" s="1104">
        <f t="shared" si="113"/>
        <v>0.02</v>
      </c>
      <c r="F210" s="1055">
        <f t="shared" si="114"/>
        <v>0</v>
      </c>
      <c r="G210" s="1071">
        <f t="shared" si="115"/>
        <v>0</v>
      </c>
      <c r="H210" s="1071">
        <f t="shared" si="115"/>
        <v>0</v>
      </c>
      <c r="I210" s="1071">
        <f t="shared" si="115"/>
        <v>0</v>
      </c>
      <c r="J210" s="1071">
        <f t="shared" si="115"/>
        <v>0</v>
      </c>
      <c r="K210" s="1071">
        <f>ROUNDDOWN(K192*$E210*$D210,0)</f>
        <v>0</v>
      </c>
      <c r="L210" s="1071">
        <f t="shared" si="115"/>
        <v>0</v>
      </c>
      <c r="M210" s="1071">
        <f t="shared" si="115"/>
        <v>0</v>
      </c>
      <c r="N210" s="1072">
        <f t="shared" si="115"/>
        <v>0</v>
      </c>
    </row>
    <row r="211" spans="1:14" s="889" customFormat="1" ht="14.25" customHeight="1">
      <c r="A211" s="2773"/>
      <c r="B211" s="2757"/>
      <c r="C211" s="1101" t="s">
        <v>2649</v>
      </c>
      <c r="D211" s="1129">
        <f t="shared" si="113"/>
        <v>1</v>
      </c>
      <c r="E211" s="1104">
        <f t="shared" si="113"/>
        <v>0.02</v>
      </c>
      <c r="F211" s="1055">
        <f t="shared" si="114"/>
        <v>0</v>
      </c>
      <c r="G211" s="1071">
        <f>ROUNDDOWN(G193*$E211*$D211,0)</f>
        <v>0</v>
      </c>
      <c r="H211" s="1071">
        <f t="shared" si="115"/>
        <v>0</v>
      </c>
      <c r="I211" s="1071">
        <f t="shared" si="115"/>
        <v>0</v>
      </c>
      <c r="J211" s="1071">
        <f t="shared" si="115"/>
        <v>0</v>
      </c>
      <c r="K211" s="1071">
        <f>ROUNDDOWN(K193*$E211*$D211,0)</f>
        <v>0</v>
      </c>
      <c r="L211" s="1071">
        <f t="shared" si="115"/>
        <v>0</v>
      </c>
      <c r="M211" s="1071">
        <f t="shared" si="115"/>
        <v>0</v>
      </c>
      <c r="N211" s="1072">
        <f t="shared" si="115"/>
        <v>0</v>
      </c>
    </row>
    <row r="212" spans="1:14" s="889" customFormat="1" ht="14.25" customHeight="1">
      <c r="A212" s="2773"/>
      <c r="B212" s="2794" t="s">
        <v>2650</v>
      </c>
      <c r="C212" s="1101" t="s">
        <v>2562</v>
      </c>
      <c r="D212" s="1147"/>
      <c r="E212" s="1148"/>
      <c r="F212" s="1055">
        <f t="shared" si="114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9" customFormat="1" ht="14.25" customHeight="1">
      <c r="A213" s="2773"/>
      <c r="B213" s="2795"/>
      <c r="C213" s="1151" t="s">
        <v>2651</v>
      </c>
      <c r="D213" s="1147"/>
      <c r="E213" s="1148"/>
      <c r="F213" s="1055">
        <f t="shared" si="114"/>
        <v>0</v>
      </c>
      <c r="G213" s="905"/>
      <c r="H213" s="905"/>
      <c r="I213" s="905"/>
      <c r="J213" s="905"/>
      <c r="K213" s="905"/>
      <c r="L213" s="905"/>
      <c r="M213" s="905"/>
      <c r="N213" s="906"/>
    </row>
    <row r="214" spans="1:14" s="889" customFormat="1" ht="13.5" customHeight="1" thickBot="1">
      <c r="A214" s="2777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114"/>
        <v>0</v>
      </c>
      <c r="G214" s="1071">
        <f>ROUNDDOWN(G194*$E214*$D214,0)</f>
        <v>0</v>
      </c>
      <c r="H214" s="1071">
        <f t="shared" ref="H214:N214" si="116">ROUNDDOWN(H194*$E214*$D214,0)</f>
        <v>0</v>
      </c>
      <c r="I214" s="1071">
        <f t="shared" si="116"/>
        <v>0</v>
      </c>
      <c r="J214" s="1071">
        <f t="shared" si="116"/>
        <v>0</v>
      </c>
      <c r="K214" s="1071">
        <f>ROUNDDOWN(K194*$E214*$D214,0)</f>
        <v>0</v>
      </c>
      <c r="L214" s="1071">
        <f t="shared" si="116"/>
        <v>0</v>
      </c>
      <c r="M214" s="1071">
        <f t="shared" si="116"/>
        <v>0</v>
      </c>
      <c r="N214" s="1153">
        <f t="shared" si="116"/>
        <v>0</v>
      </c>
    </row>
    <row r="215" spans="1:14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114"/>
        <v>20162722</v>
      </c>
      <c r="G215" s="1160">
        <f t="shared" ref="G215:N215" si="117">SUM(G200:G214)+G198</f>
        <v>3667017</v>
      </c>
      <c r="H215" s="1160">
        <f>SUM(H200:H214)+H198</f>
        <v>2282113</v>
      </c>
      <c r="I215" s="1160">
        <f>SUM(I200:I214)+I198</f>
        <v>221648</v>
      </c>
      <c r="J215" s="1160">
        <f t="shared" si="117"/>
        <v>12806355</v>
      </c>
      <c r="K215" s="1160">
        <f>SUM(K200:K214)+K198</f>
        <v>1185589</v>
      </c>
      <c r="L215" s="1160">
        <f t="shared" si="117"/>
        <v>0</v>
      </c>
      <c r="M215" s="1160">
        <f t="shared" si="117"/>
        <v>0</v>
      </c>
      <c r="N215" s="1161">
        <f t="shared" si="117"/>
        <v>0</v>
      </c>
    </row>
    <row r="216" spans="1:14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114"/>
        <v>196176800</v>
      </c>
      <c r="G216" s="1064">
        <f t="shared" ref="G216:N216" si="118">+G91+G215</f>
        <v>37092902</v>
      </c>
      <c r="H216" s="1064">
        <f>+H91+H215</f>
        <v>24600996</v>
      </c>
      <c r="I216" s="1064">
        <f t="shared" si="118"/>
        <v>2353309</v>
      </c>
      <c r="J216" s="1064">
        <f t="shared" si="118"/>
        <v>120735841</v>
      </c>
      <c r="K216" s="1064">
        <f>+K91+K215</f>
        <v>11393752</v>
      </c>
      <c r="L216" s="1064">
        <f t="shared" si="118"/>
        <v>0</v>
      </c>
      <c r="M216" s="1064">
        <f t="shared" si="118"/>
        <v>0</v>
      </c>
      <c r="N216" s="1065">
        <f t="shared" si="118"/>
        <v>0</v>
      </c>
    </row>
    <row r="217" spans="1:14" s="889" customFormat="1" ht="13.5" customHeight="1">
      <c r="A217" s="1286"/>
      <c r="B217" s="1286"/>
      <c r="C217" s="917"/>
      <c r="D217" s="917"/>
      <c r="E217" s="1286"/>
      <c r="F217" s="1144"/>
      <c r="G217" s="908"/>
      <c r="H217" s="908"/>
      <c r="I217" s="908"/>
      <c r="J217" s="908"/>
      <c r="K217" s="908"/>
      <c r="L217" s="908"/>
      <c r="M217" s="908"/>
      <c r="N217" s="908"/>
    </row>
    <row r="218" spans="1:14" s="889" customFormat="1" ht="13.5" customHeight="1">
      <c r="A218" s="1286"/>
      <c r="B218" s="1286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2655</v>
      </c>
    </row>
    <row r="219" spans="1:14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9" customFormat="1" ht="13.5" customHeight="1">
      <c r="A220" s="2778"/>
      <c r="B220" s="2779"/>
      <c r="C220" s="2780"/>
      <c r="D220" s="1166"/>
      <c r="E220" s="1082" t="s">
        <v>2656</v>
      </c>
      <c r="F220" s="1083" t="s">
        <v>2505</v>
      </c>
      <c r="G220" s="1084" t="str">
        <f t="shared" ref="G220:N220" si="119">+G86</f>
        <v>工事1</v>
      </c>
      <c r="H220" s="1084" t="str">
        <f t="shared" si="119"/>
        <v>工事2</v>
      </c>
      <c r="I220" s="1084" t="str">
        <f t="shared" si="119"/>
        <v>工事3</v>
      </c>
      <c r="J220" s="1084" t="str">
        <f t="shared" si="119"/>
        <v>工事4</v>
      </c>
      <c r="K220" s="1084" t="str">
        <f t="shared" si="119"/>
        <v>工事5</v>
      </c>
      <c r="L220" s="1084">
        <f t="shared" si="119"/>
        <v>0</v>
      </c>
      <c r="M220" s="1084">
        <f t="shared" si="119"/>
        <v>0</v>
      </c>
      <c r="N220" s="1085">
        <f t="shared" si="119"/>
        <v>0</v>
      </c>
    </row>
    <row r="221" spans="1:14" s="889" customFormat="1" ht="13.5" customHeight="1" thickBot="1">
      <c r="A221" s="2781"/>
      <c r="B221" s="2782"/>
      <c r="C221" s="2783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SUM(G222:N222)</f>
        <v>196176800</v>
      </c>
      <c r="G222" s="1177">
        <f t="shared" ref="G222:N222" si="120">IF(G223="",+G216,0)</f>
        <v>37092902</v>
      </c>
      <c r="H222" s="1177">
        <f t="shared" si="120"/>
        <v>24600996</v>
      </c>
      <c r="I222" s="1177">
        <f t="shared" si="120"/>
        <v>2353309</v>
      </c>
      <c r="J222" s="1177">
        <f t="shared" si="120"/>
        <v>120735841</v>
      </c>
      <c r="K222" s="1177">
        <f t="shared" si="120"/>
        <v>11393752</v>
      </c>
      <c r="L222" s="1177">
        <f t="shared" si="120"/>
        <v>0</v>
      </c>
      <c r="M222" s="1177">
        <f t="shared" si="120"/>
        <v>0</v>
      </c>
      <c r="N222" s="1178">
        <f t="shared" si="120"/>
        <v>0</v>
      </c>
    </row>
    <row r="223" spans="1:14" s="889" customFormat="1" ht="13.5" customHeight="1">
      <c r="A223" s="1285"/>
      <c r="B223" s="1286"/>
      <c r="C223" s="1179" t="s">
        <v>2658</v>
      </c>
      <c r="D223" s="1180"/>
      <c r="E223" s="1181"/>
      <c r="F223" s="919">
        <f>SUM(G223:N223)</f>
        <v>0</v>
      </c>
      <c r="G223" s="919" t="str">
        <f>IF(G245="","",G216)</f>
        <v/>
      </c>
      <c r="H223" s="919" t="str">
        <f t="shared" ref="H223:N223" si="121">IF(H245="","",H216)</f>
        <v/>
      </c>
      <c r="I223" s="919" t="str">
        <f>IF(I245="","",I216)</f>
        <v/>
      </c>
      <c r="J223" s="919" t="str">
        <f t="shared" si="121"/>
        <v/>
      </c>
      <c r="K223" s="919" t="str">
        <f t="shared" si="121"/>
        <v/>
      </c>
      <c r="L223" s="919" t="str">
        <f t="shared" si="121"/>
        <v/>
      </c>
      <c r="M223" s="919" t="str">
        <f t="shared" si="121"/>
        <v/>
      </c>
      <c r="N223" s="1182" t="str">
        <f t="shared" si="121"/>
        <v/>
      </c>
    </row>
    <row r="224" spans="1:14" s="889" customFormat="1" ht="13.5" customHeight="1">
      <c r="A224" s="1162"/>
      <c r="B224" s="1163"/>
      <c r="C224" s="2784" t="s">
        <v>2659</v>
      </c>
      <c r="D224" s="2784"/>
      <c r="E224" s="2785"/>
      <c r="F224" s="939">
        <f>F222+F223-F232</f>
        <v>196176800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9" customFormat="1" ht="13.5" customHeight="1">
      <c r="A225" s="870"/>
      <c r="B225" s="871"/>
      <c r="C225" s="871"/>
      <c r="D225" s="1183"/>
      <c r="E225" s="874" t="str">
        <f>E86</f>
        <v>無し</v>
      </c>
      <c r="F225" s="2786" t="s">
        <v>2660</v>
      </c>
      <c r="G225" s="2787"/>
      <c r="H225" s="1068"/>
      <c r="I225" s="1068"/>
      <c r="J225" s="1068"/>
      <c r="K225" s="1068"/>
      <c r="L225" s="1068"/>
      <c r="M225" s="1068"/>
      <c r="N225" s="1069"/>
    </row>
    <row r="226" spans="1:14" s="889" customFormat="1" ht="13.5" customHeight="1">
      <c r="A226" s="2788" t="s">
        <v>2661</v>
      </c>
      <c r="B226" s="2789"/>
      <c r="C226" s="2790"/>
      <c r="D226" s="1184"/>
      <c r="E226" s="1185" t="str">
        <f>+E87</f>
        <v>有り</v>
      </c>
      <c r="F226" s="2791" t="s">
        <v>2662</v>
      </c>
      <c r="G226" s="2792"/>
      <c r="H226" s="1064"/>
      <c r="I226" s="1064"/>
      <c r="J226" s="1064"/>
      <c r="K226" s="1064"/>
      <c r="L226" s="1064"/>
      <c r="M226" s="1064"/>
      <c r="N226" s="1065"/>
    </row>
    <row r="227" spans="1:14" s="889" customFormat="1" ht="13.5" customHeight="1">
      <c r="A227" s="2793"/>
      <c r="B227" s="1186" t="s">
        <v>161</v>
      </c>
      <c r="C227" s="1187" t="s">
        <v>2663</v>
      </c>
      <c r="D227" s="1188">
        <v>1</v>
      </c>
      <c r="E227" s="1189">
        <f>+G296/100</f>
        <v>0.12179999999999999</v>
      </c>
      <c r="F227" s="900">
        <f>SUM(G227:N227)</f>
        <v>196176800</v>
      </c>
      <c r="G227" s="1068">
        <f>+G222-G232</f>
        <v>37092902</v>
      </c>
      <c r="H227" s="1068">
        <f t="shared" ref="H227:N227" si="122">+H222-H232</f>
        <v>24600996</v>
      </c>
      <c r="I227" s="1068">
        <f>+I222-I232</f>
        <v>2353309</v>
      </c>
      <c r="J227" s="1068">
        <f t="shared" si="122"/>
        <v>120735841</v>
      </c>
      <c r="K227" s="1068">
        <f t="shared" si="122"/>
        <v>11393752</v>
      </c>
      <c r="L227" s="1068">
        <f t="shared" si="122"/>
        <v>0</v>
      </c>
      <c r="M227" s="1068">
        <f t="shared" si="122"/>
        <v>0</v>
      </c>
      <c r="N227" s="1069">
        <f t="shared" si="122"/>
        <v>0</v>
      </c>
    </row>
    <row r="228" spans="1:14" s="889" customFormat="1" ht="13.5" customHeight="1">
      <c r="A228" s="2753"/>
      <c r="B228" s="2758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0.12179999999999999</v>
      </c>
      <c r="F228" s="904">
        <f>SUM(G228:N228)</f>
        <v>196176800</v>
      </c>
      <c r="G228" s="905">
        <f>IF(G245=0,+G227,0)</f>
        <v>37092902</v>
      </c>
      <c r="H228" s="905">
        <f>IF(H245=0,+H227,0)</f>
        <v>24600996</v>
      </c>
      <c r="I228" s="905">
        <f t="shared" ref="I228:N228" si="123">IF(I245=0,+I227,0)</f>
        <v>2353309</v>
      </c>
      <c r="J228" s="905">
        <f t="shared" si="123"/>
        <v>120735841</v>
      </c>
      <c r="K228" s="905">
        <f t="shared" si="123"/>
        <v>11393752</v>
      </c>
      <c r="L228" s="905">
        <f t="shared" si="123"/>
        <v>0</v>
      </c>
      <c r="M228" s="905">
        <f t="shared" si="123"/>
        <v>0</v>
      </c>
      <c r="N228" s="906">
        <f t="shared" si="123"/>
        <v>0</v>
      </c>
    </row>
    <row r="229" spans="1:14" s="889" customFormat="1" ht="13.5" customHeight="1">
      <c r="A229" s="2753"/>
      <c r="B229" s="2757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SUM(G229:N229)</f>
        <v>196176800</v>
      </c>
      <c r="G229" s="905">
        <f>IF(G245=0,+G227,0)</f>
        <v>37092902</v>
      </c>
      <c r="H229" s="905">
        <f t="shared" ref="H229:N229" si="124">IF(H245=0,+H227,0)</f>
        <v>24600996</v>
      </c>
      <c r="I229" s="905">
        <f t="shared" si="124"/>
        <v>2353309</v>
      </c>
      <c r="J229" s="905">
        <f t="shared" si="124"/>
        <v>120735841</v>
      </c>
      <c r="K229" s="905">
        <f t="shared" si="124"/>
        <v>11393752</v>
      </c>
      <c r="L229" s="905">
        <f t="shared" si="124"/>
        <v>0</v>
      </c>
      <c r="M229" s="905">
        <f t="shared" si="124"/>
        <v>0</v>
      </c>
      <c r="N229" s="906">
        <f t="shared" si="124"/>
        <v>0</v>
      </c>
    </row>
    <row r="230" spans="1:14" s="889" customFormat="1" ht="13.5" customHeight="1">
      <c r="A230" s="2753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6"/>
    </row>
    <row r="231" spans="1:14" s="889" customFormat="1" ht="13.5" customHeight="1">
      <c r="A231" s="2753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6"/>
    </row>
    <row r="232" spans="1:14" s="889" customFormat="1" ht="13.5" customHeight="1">
      <c r="A232" s="2753"/>
      <c r="B232" s="2758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SUM(G232:N232)</f>
        <v>0</v>
      </c>
      <c r="G232" s="905">
        <f>+G136</f>
        <v>0</v>
      </c>
      <c r="H232" s="905">
        <f t="shared" ref="H232:N232" si="125">+H136</f>
        <v>0</v>
      </c>
      <c r="I232" s="905">
        <f t="shared" si="125"/>
        <v>0</v>
      </c>
      <c r="J232" s="905">
        <f t="shared" si="125"/>
        <v>0</v>
      </c>
      <c r="K232" s="905">
        <f>+K136</f>
        <v>0</v>
      </c>
      <c r="L232" s="905">
        <f t="shared" si="125"/>
        <v>0</v>
      </c>
      <c r="M232" s="905">
        <f t="shared" si="125"/>
        <v>0</v>
      </c>
      <c r="N232" s="906">
        <f t="shared" si="125"/>
        <v>0</v>
      </c>
    </row>
    <row r="233" spans="1:14" s="889" customFormat="1" ht="13.5" customHeight="1">
      <c r="A233" s="2753"/>
      <c r="B233" s="2756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6"/>
    </row>
    <row r="234" spans="1:14" s="889" customFormat="1" ht="13.5" customHeight="1">
      <c r="A234" s="2754"/>
      <c r="B234" s="2759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9" customFormat="1" ht="13.5" customHeight="1">
      <c r="A236" s="2788" t="s">
        <v>2668</v>
      </c>
      <c r="B236" s="2789"/>
      <c r="C236" s="2790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9" customFormat="1" ht="13.5" customHeight="1">
      <c r="A237" s="1285"/>
      <c r="B237" s="1204" t="s">
        <v>161</v>
      </c>
      <c r="C237" s="1187" t="s">
        <v>2663</v>
      </c>
      <c r="D237" s="1188">
        <f t="shared" ref="D237:E239" si="126">+D227</f>
        <v>1</v>
      </c>
      <c r="E237" s="1205">
        <f>+E227</f>
        <v>0.12179999999999999</v>
      </c>
      <c r="F237" s="904">
        <f>INT(D237*E237*F227)</f>
        <v>23894334</v>
      </c>
      <c r="G237" s="1068">
        <f>F237-SUM(H237:N237)</f>
        <v>4517916</v>
      </c>
      <c r="H237" s="1068">
        <f>IF(H227=0,0,ROUND($F237/$F227*H227,0))</f>
        <v>2996401</v>
      </c>
      <c r="I237" s="1068">
        <f t="shared" ref="H237:N239" si="127">IF(I227=0,0,ROUND($F237/$F227*I227,0))</f>
        <v>286633</v>
      </c>
      <c r="J237" s="1068">
        <f t="shared" si="127"/>
        <v>14705625</v>
      </c>
      <c r="K237" s="1068">
        <f t="shared" si="127"/>
        <v>1387759</v>
      </c>
      <c r="L237" s="1068">
        <f t="shared" si="127"/>
        <v>0</v>
      </c>
      <c r="M237" s="1068">
        <f t="shared" si="127"/>
        <v>0</v>
      </c>
      <c r="N237" s="1069">
        <f t="shared" si="127"/>
        <v>0</v>
      </c>
    </row>
    <row r="238" spans="1:14" s="889" customFormat="1" ht="13.5" customHeight="1">
      <c r="A238" s="1285"/>
      <c r="B238" s="2758" t="s">
        <v>2664</v>
      </c>
      <c r="C238" s="903" t="s">
        <v>2665</v>
      </c>
      <c r="D238" s="1193">
        <f t="shared" si="126"/>
        <v>0.05</v>
      </c>
      <c r="E238" s="1104">
        <f t="shared" si="126"/>
        <v>0.12179999999999999</v>
      </c>
      <c r="F238" s="904">
        <f>INT(D238*E238*F228)</f>
        <v>1194716</v>
      </c>
      <c r="G238" s="905">
        <f>F238-SUM(H238:N238)</f>
        <v>225895</v>
      </c>
      <c r="H238" s="905">
        <f t="shared" si="127"/>
        <v>149820</v>
      </c>
      <c r="I238" s="905">
        <f t="shared" si="127"/>
        <v>14332</v>
      </c>
      <c r="J238" s="905">
        <f t="shared" si="127"/>
        <v>735281</v>
      </c>
      <c r="K238" s="905">
        <f t="shared" si="127"/>
        <v>69388</v>
      </c>
      <c r="L238" s="905">
        <f t="shared" si="127"/>
        <v>0</v>
      </c>
      <c r="M238" s="905">
        <f t="shared" si="127"/>
        <v>0</v>
      </c>
      <c r="N238" s="906">
        <f t="shared" si="127"/>
        <v>0</v>
      </c>
    </row>
    <row r="239" spans="1:14" s="889" customFormat="1" ht="13.5" customHeight="1">
      <c r="A239" s="1285"/>
      <c r="B239" s="2757"/>
      <c r="C239" s="903" t="s">
        <v>2666</v>
      </c>
      <c r="D239" s="1193">
        <f t="shared" si="126"/>
        <v>1</v>
      </c>
      <c r="E239" s="1104">
        <f t="shared" si="126"/>
        <v>4.0000000000000002E-4</v>
      </c>
      <c r="F239" s="904">
        <f>INT(D239*E239*F229)</f>
        <v>78470</v>
      </c>
      <c r="G239" s="905">
        <f>F239-SUM(H239:N239)</f>
        <v>14838</v>
      </c>
      <c r="H239" s="905">
        <f>IF(H229=0,0,ROUND($F239/$F229*H229,0))</f>
        <v>9840</v>
      </c>
      <c r="I239" s="905">
        <f t="shared" si="127"/>
        <v>941</v>
      </c>
      <c r="J239" s="905">
        <f t="shared" si="127"/>
        <v>48294</v>
      </c>
      <c r="K239" s="905">
        <f t="shared" si="127"/>
        <v>4557</v>
      </c>
      <c r="L239" s="905">
        <f t="shared" si="127"/>
        <v>0</v>
      </c>
      <c r="M239" s="905">
        <f t="shared" si="127"/>
        <v>0</v>
      </c>
      <c r="N239" s="906">
        <f t="shared" si="127"/>
        <v>0</v>
      </c>
    </row>
    <row r="240" spans="1:14" s="889" customFormat="1" ht="13.5" customHeight="1">
      <c r="A240" s="1285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6"/>
    </row>
    <row r="241" spans="1:14" s="889" customFormat="1" ht="13.5" customHeight="1">
      <c r="A241" s="1285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6"/>
    </row>
    <row r="242" spans="1:14" s="889" customFormat="1" ht="13.5" customHeight="1">
      <c r="A242" s="1285"/>
      <c r="B242" s="2758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F242-SUM(H242:N242)</f>
        <v>0</v>
      </c>
      <c r="H242" s="905">
        <f t="shared" ref="H242:N242" si="128">IF(H232=0,0,ROUND($F242/$F232*H232,0))</f>
        <v>0</v>
      </c>
      <c r="I242" s="905">
        <f t="shared" si="128"/>
        <v>0</v>
      </c>
      <c r="J242" s="905">
        <f t="shared" si="128"/>
        <v>0</v>
      </c>
      <c r="K242" s="905">
        <f>IF(K232=0,0,ROUND($F242/$F232*K232,0))</f>
        <v>0</v>
      </c>
      <c r="L242" s="905">
        <f t="shared" si="128"/>
        <v>0</v>
      </c>
      <c r="M242" s="905">
        <f t="shared" si="128"/>
        <v>0</v>
      </c>
      <c r="N242" s="906">
        <f t="shared" si="128"/>
        <v>0</v>
      </c>
    </row>
    <row r="243" spans="1:14" s="889" customFormat="1" ht="13.5" customHeight="1">
      <c r="A243" s="1285"/>
      <c r="B243" s="2756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6"/>
    </row>
    <row r="244" spans="1:14" s="889" customFormat="1" ht="13.5" customHeight="1">
      <c r="A244" s="1206"/>
      <c r="B244" s="2757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6"/>
    </row>
    <row r="245" spans="1:14" s="889" customFormat="1" ht="13.5" customHeight="1">
      <c r="A245" s="1206"/>
      <c r="B245" s="2794" t="s">
        <v>2650</v>
      </c>
      <c r="C245" s="1120" t="s">
        <v>2669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9" customFormat="1" ht="13.5" customHeight="1">
      <c r="A246" s="1285"/>
      <c r="B246" s="2810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/>
      <c r="N246" s="906"/>
    </row>
    <row r="247" spans="1:14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SUM(G248:N248)</f>
        <v>25167520</v>
      </c>
      <c r="G248" s="905">
        <f t="shared" ref="G248:N248" si="129">SUM(G237:G246)</f>
        <v>4758649</v>
      </c>
      <c r="H248" s="905">
        <f t="shared" si="129"/>
        <v>3156061</v>
      </c>
      <c r="I248" s="905">
        <f t="shared" si="129"/>
        <v>301906</v>
      </c>
      <c r="J248" s="905">
        <f t="shared" si="129"/>
        <v>15489200</v>
      </c>
      <c r="K248" s="905">
        <f t="shared" si="129"/>
        <v>1461704</v>
      </c>
      <c r="L248" s="905">
        <f t="shared" si="129"/>
        <v>0</v>
      </c>
      <c r="M248" s="905">
        <f t="shared" si="129"/>
        <v>0</v>
      </c>
      <c r="N248" s="906">
        <f t="shared" si="129"/>
        <v>0</v>
      </c>
    </row>
    <row r="249" spans="1:14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SUM(G249:N249)</f>
        <v>196176800</v>
      </c>
      <c r="G249" s="905">
        <f t="shared" ref="G249:N249" si="130">+G216</f>
        <v>37092902</v>
      </c>
      <c r="H249" s="905">
        <f t="shared" si="130"/>
        <v>24600996</v>
      </c>
      <c r="I249" s="905">
        <f t="shared" si="130"/>
        <v>2353309</v>
      </c>
      <c r="J249" s="905">
        <f t="shared" si="130"/>
        <v>120735841</v>
      </c>
      <c r="K249" s="905">
        <f t="shared" si="130"/>
        <v>11393752</v>
      </c>
      <c r="L249" s="905">
        <f t="shared" si="130"/>
        <v>0</v>
      </c>
      <c r="M249" s="905">
        <f t="shared" si="130"/>
        <v>0</v>
      </c>
      <c r="N249" s="906">
        <f t="shared" si="130"/>
        <v>0</v>
      </c>
    </row>
    <row r="250" spans="1:14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SUM(G250:N250)</f>
        <v>221344320</v>
      </c>
      <c r="G250" s="1219">
        <f>SUM(G248:G249)</f>
        <v>41851551</v>
      </c>
      <c r="H250" s="1219">
        <f t="shared" ref="H250:N250" si="131">SUM(H248:H249)</f>
        <v>27757057</v>
      </c>
      <c r="I250" s="1219">
        <f t="shared" si="131"/>
        <v>2655215</v>
      </c>
      <c r="J250" s="1219">
        <f t="shared" si="131"/>
        <v>136225041</v>
      </c>
      <c r="K250" s="1219">
        <f>SUM(K248:K249)</f>
        <v>12855456</v>
      </c>
      <c r="L250" s="1219">
        <f t="shared" si="131"/>
        <v>0</v>
      </c>
      <c r="M250" s="1219">
        <f t="shared" si="131"/>
        <v>0</v>
      </c>
      <c r="N250" s="1220">
        <f t="shared" si="131"/>
        <v>0</v>
      </c>
    </row>
    <row r="251" spans="1:14" s="889" customFormat="1" ht="13.5" customHeight="1" thickTop="1">
      <c r="A251" s="1285"/>
      <c r="B251" s="1286"/>
      <c r="C251" s="1286"/>
      <c r="D251" s="918"/>
      <c r="E251" s="918"/>
      <c r="F251" s="919"/>
      <c r="G251" s="1221">
        <f t="shared" ref="G251:N251" si="132">ROUNDDOWN(G250,-3)</f>
        <v>41851000</v>
      </c>
      <c r="H251" s="1221">
        <f>ROUNDDOWN(H250,-3)</f>
        <v>27757000</v>
      </c>
      <c r="I251" s="1221">
        <f t="shared" si="132"/>
        <v>2655000</v>
      </c>
      <c r="J251" s="1221">
        <f t="shared" si="132"/>
        <v>136225000</v>
      </c>
      <c r="K251" s="1221">
        <f>ROUNDDOWN(K250,-3)</f>
        <v>12855000</v>
      </c>
      <c r="L251" s="1221">
        <f t="shared" si="132"/>
        <v>0</v>
      </c>
      <c r="M251" s="1221">
        <f t="shared" si="132"/>
        <v>0</v>
      </c>
      <c r="N251" s="1222">
        <f t="shared" si="132"/>
        <v>0</v>
      </c>
    </row>
    <row r="252" spans="1:14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SUM(G252:N252)</f>
        <v>196176800</v>
      </c>
      <c r="G252" s="905">
        <f t="shared" ref="G252:N252" si="133">+G249</f>
        <v>37092902</v>
      </c>
      <c r="H252" s="905">
        <f t="shared" si="133"/>
        <v>24600996</v>
      </c>
      <c r="I252" s="905">
        <f>+I249</f>
        <v>2353309</v>
      </c>
      <c r="J252" s="905">
        <f>+J249</f>
        <v>120735841</v>
      </c>
      <c r="K252" s="905">
        <f>+K249</f>
        <v>11393752</v>
      </c>
      <c r="L252" s="905">
        <f t="shared" si="133"/>
        <v>0</v>
      </c>
      <c r="M252" s="905">
        <f t="shared" si="133"/>
        <v>0</v>
      </c>
      <c r="N252" s="906">
        <f t="shared" si="133"/>
        <v>0</v>
      </c>
    </row>
    <row r="253" spans="1:14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SUM(G253:N253)</f>
        <v>25123200</v>
      </c>
      <c r="G253" s="905">
        <f t="shared" ref="G253:N253" si="134">+G248-(G250-G255)</f>
        <v>4749098</v>
      </c>
      <c r="H253" s="905">
        <f>+H248-(H250-H255)</f>
        <v>3151004</v>
      </c>
      <c r="I253" s="905">
        <f t="shared" si="134"/>
        <v>300691</v>
      </c>
      <c r="J253" s="905">
        <f>+J248-(J250-J255)</f>
        <v>15463159</v>
      </c>
      <c r="K253" s="905">
        <f>+K248-(K250-K255)</f>
        <v>1459248</v>
      </c>
      <c r="L253" s="905">
        <f t="shared" si="134"/>
        <v>0</v>
      </c>
      <c r="M253" s="905">
        <f t="shared" si="134"/>
        <v>0</v>
      </c>
      <c r="N253" s="906">
        <f t="shared" si="134"/>
        <v>0</v>
      </c>
    </row>
    <row r="254" spans="1:14" s="889" customFormat="1" ht="13.5" customHeight="1">
      <c r="A254" s="1213"/>
      <c r="B254" s="1073"/>
      <c r="C254" s="1073"/>
      <c r="D254" s="903"/>
      <c r="E254" s="1223">
        <f>SUM(G251:N251)</f>
        <v>221343000</v>
      </c>
      <c r="F254" s="904" t="s">
        <v>2675</v>
      </c>
      <c r="G254" s="905">
        <f t="shared" ref="G254:N254" si="135">+G248-G253</f>
        <v>9551</v>
      </c>
      <c r="H254" s="905">
        <f t="shared" si="135"/>
        <v>5057</v>
      </c>
      <c r="I254" s="905">
        <f t="shared" si="135"/>
        <v>1215</v>
      </c>
      <c r="J254" s="905">
        <f t="shared" si="135"/>
        <v>26041</v>
      </c>
      <c r="K254" s="905">
        <f>+K248-K253</f>
        <v>2456</v>
      </c>
      <c r="L254" s="905">
        <f t="shared" si="135"/>
        <v>0</v>
      </c>
      <c r="M254" s="1224">
        <f t="shared" si="135"/>
        <v>0</v>
      </c>
      <c r="N254" s="1225">
        <f t="shared" si="135"/>
        <v>0</v>
      </c>
    </row>
    <row r="255" spans="1:14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221300000</v>
      </c>
      <c r="F255" s="1228">
        <f>+E255</f>
        <v>221300000</v>
      </c>
      <c r="G255" s="1224">
        <f>IF(F256+SUM(H255:N255)=F255,F256,F255-SUM(H255:N255))</f>
        <v>41842000</v>
      </c>
      <c r="H255" s="1224">
        <f t="shared" ref="H255:N255" si="136">IF(H245="",+H251-ROUND($E$256*H250/$F$250,-3),H250)</f>
        <v>27752000</v>
      </c>
      <c r="I255" s="1224">
        <f t="shared" si="136"/>
        <v>2654000</v>
      </c>
      <c r="J255" s="1224">
        <f t="shared" si="136"/>
        <v>136199000</v>
      </c>
      <c r="K255" s="1224">
        <f t="shared" si="136"/>
        <v>12853000</v>
      </c>
      <c r="L255" s="1224">
        <f t="shared" si="136"/>
        <v>0</v>
      </c>
      <c r="M255" s="1224">
        <f t="shared" si="136"/>
        <v>0</v>
      </c>
      <c r="N255" s="1225">
        <f t="shared" si="136"/>
        <v>0</v>
      </c>
    </row>
    <row r="256" spans="1:14" s="889" customFormat="1" ht="13.5" customHeight="1">
      <c r="A256" s="1229"/>
      <c r="B256" s="1230"/>
      <c r="C256" s="1230"/>
      <c r="D256" s="1231"/>
      <c r="E256" s="1232">
        <f>E254-E255</f>
        <v>43000</v>
      </c>
      <c r="F256" s="1233">
        <f>+G251-ROUND($E$256*G250/$F$250,-3)</f>
        <v>41843000</v>
      </c>
      <c r="G256" s="1232">
        <f t="shared" ref="G256:N256" si="137">IF(LEN(G250)&lt;=7,-3,IF(LEN(G250)=8,-4,IF(LEN(G250)&gt;=9,-5,-6)))</f>
        <v>-4</v>
      </c>
      <c r="H256" s="1232">
        <f t="shared" si="137"/>
        <v>-4</v>
      </c>
      <c r="I256" s="1232">
        <f t="shared" si="137"/>
        <v>-3</v>
      </c>
      <c r="J256" s="1232">
        <f>IF(LEN(J250)&lt;=7,-3,IF(LEN(J250)=8,-4,IF(LEN(J250)&gt;=9,-5,-6)))</f>
        <v>-5</v>
      </c>
      <c r="K256" s="1232">
        <f>IF(LEN(K250)&lt;=7,-3,IF(LEN(K250)=8,-4,IF(LEN(K250)&gt;=9,-5,-6)))</f>
        <v>-4</v>
      </c>
      <c r="L256" s="1232">
        <f t="shared" si="137"/>
        <v>-3</v>
      </c>
      <c r="M256" s="1232">
        <f t="shared" si="137"/>
        <v>-3</v>
      </c>
      <c r="N256" s="1234">
        <f t="shared" si="137"/>
        <v>-3</v>
      </c>
    </row>
    <row r="257" spans="1:14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N258" si="138">+G84</f>
        <v>16.600000000000001</v>
      </c>
      <c r="H258" s="1243">
        <f t="shared" si="138"/>
        <v>11</v>
      </c>
      <c r="I258" s="1243">
        <f t="shared" si="138"/>
        <v>16.600000000000001</v>
      </c>
      <c r="J258" s="1243">
        <f t="shared" si="138"/>
        <v>16.600000000000001</v>
      </c>
      <c r="K258" s="1243">
        <f t="shared" si="138"/>
        <v>16.600000000000001</v>
      </c>
      <c r="L258" s="1243">
        <f t="shared" si="138"/>
        <v>0</v>
      </c>
      <c r="M258" s="1243">
        <f t="shared" si="138"/>
        <v>0</v>
      </c>
      <c r="N258" s="1244">
        <f t="shared" si="138"/>
        <v>0</v>
      </c>
    </row>
    <row r="259" spans="1:14" s="889" customFormat="1" ht="15" hidden="1" customHeight="1">
      <c r="A259" s="2802"/>
      <c r="B259" s="2805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3.92</v>
      </c>
      <c r="H259" s="1248">
        <f>IF($F141&lt;=10000000,ROUND(7.56*(10000^-0.1105)*(H258^0.2389),2),ROUND(7.56*(($F141/1000)^-0.1105)*(H258^0.2389),2))</f>
        <v>3.55</v>
      </c>
      <c r="I259" s="1248">
        <f t="shared" ref="I259:N259" si="139">IF($F141&lt;=10000000,ROUND(7.56*(10000^-0.1105)*(I258^0.2389),2),ROUND(7.56*(($F141/1000)^-0.1105)*(I258^0.2389),2))</f>
        <v>3.92</v>
      </c>
      <c r="J259" s="1248">
        <f t="shared" si="139"/>
        <v>3.92</v>
      </c>
      <c r="K259" s="1248">
        <f t="shared" si="139"/>
        <v>3.92</v>
      </c>
      <c r="L259" s="1248">
        <f t="shared" si="139"/>
        <v>0</v>
      </c>
      <c r="M259" s="1248">
        <f t="shared" si="139"/>
        <v>0</v>
      </c>
      <c r="N259" s="1248">
        <f t="shared" si="139"/>
        <v>0</v>
      </c>
    </row>
    <row r="260" spans="1:14" s="889" customFormat="1" ht="15" hidden="1" customHeight="1">
      <c r="A260" s="2803"/>
      <c r="B260" s="2806"/>
      <c r="C260" s="2808" t="s">
        <v>2682</v>
      </c>
      <c r="D260" s="1124"/>
      <c r="E260" s="1249"/>
      <c r="F260" s="1247" t="s">
        <v>2683</v>
      </c>
      <c r="G260" s="1250">
        <f>IF($F141&lt;=10000000,ROUND(4.33,2),0)</f>
        <v>0</v>
      </c>
      <c r="H260" s="1250">
        <f t="shared" ref="H260:N260" si="140">IF($F141&lt;=10000000,ROUND(4.33,2),0)</f>
        <v>0</v>
      </c>
      <c r="I260" s="1250">
        <f t="shared" si="140"/>
        <v>0</v>
      </c>
      <c r="J260" s="1250">
        <f t="shared" si="140"/>
        <v>0</v>
      </c>
      <c r="K260" s="1250">
        <f t="shared" si="140"/>
        <v>0</v>
      </c>
      <c r="L260" s="1250">
        <f t="shared" si="140"/>
        <v>0</v>
      </c>
      <c r="M260" s="1250">
        <f t="shared" si="140"/>
        <v>0</v>
      </c>
      <c r="N260" s="1250">
        <f t="shared" si="140"/>
        <v>0</v>
      </c>
    </row>
    <row r="261" spans="1:14" s="889" customFormat="1" ht="15" hidden="1" customHeight="1">
      <c r="A261" s="2803"/>
      <c r="B261" s="2806"/>
      <c r="C261" s="2809"/>
      <c r="D261" s="1251"/>
      <c r="E261" s="1252"/>
      <c r="F261" s="1247" t="s">
        <v>2684</v>
      </c>
      <c r="G261" s="1250">
        <f>IF($F141&lt;=10000000,ROUND(3.25,2),0)</f>
        <v>0</v>
      </c>
      <c r="H261" s="1250">
        <f t="shared" ref="H261:N261" si="141">IF($F141&lt;=10000000,ROUND(3.25,2),0)</f>
        <v>0</v>
      </c>
      <c r="I261" s="1250">
        <f t="shared" si="141"/>
        <v>0</v>
      </c>
      <c r="J261" s="1250">
        <f t="shared" si="141"/>
        <v>0</v>
      </c>
      <c r="K261" s="1250">
        <f t="shared" si="141"/>
        <v>0</v>
      </c>
      <c r="L261" s="1250">
        <f t="shared" si="141"/>
        <v>0</v>
      </c>
      <c r="M261" s="1250">
        <f t="shared" si="141"/>
        <v>0</v>
      </c>
      <c r="N261" s="1250">
        <f t="shared" si="141"/>
        <v>0</v>
      </c>
    </row>
    <row r="262" spans="1:14" s="889" customFormat="1" ht="14.25" hidden="1" customHeight="1">
      <c r="A262" s="2803"/>
      <c r="B262" s="2806"/>
      <c r="C262" s="2808" t="s">
        <v>2685</v>
      </c>
      <c r="D262" s="1124"/>
      <c r="E262" s="1249"/>
      <c r="F262" s="1247" t="s">
        <v>2683</v>
      </c>
      <c r="G262" s="1253">
        <f>IF($F141&gt;10000000,ROUND(5.78*($F141/1000)^-0.0313,2),0)</f>
        <v>3.97</v>
      </c>
      <c r="H262" s="1253">
        <f t="shared" ref="H262:N262" si="142">IF($F141&gt;10000000,ROUND(5.78*($F141/1000)^-0.0313,2),0)</f>
        <v>3.97</v>
      </c>
      <c r="I262" s="1253">
        <f t="shared" si="142"/>
        <v>3.97</v>
      </c>
      <c r="J262" s="1253">
        <f t="shared" si="142"/>
        <v>3.97</v>
      </c>
      <c r="K262" s="1253">
        <f t="shared" si="142"/>
        <v>3.97</v>
      </c>
      <c r="L262" s="1253">
        <f t="shared" si="142"/>
        <v>3.97</v>
      </c>
      <c r="M262" s="1253">
        <f t="shared" si="142"/>
        <v>3.97</v>
      </c>
      <c r="N262" s="1253">
        <f t="shared" si="142"/>
        <v>3.97</v>
      </c>
    </row>
    <row r="263" spans="1:14" s="889" customFormat="1" ht="15" hidden="1" customHeight="1">
      <c r="A263" s="2804"/>
      <c r="B263" s="2807"/>
      <c r="C263" s="2809"/>
      <c r="D263" s="1251"/>
      <c r="E263" s="1252"/>
      <c r="F263" s="1247" t="s">
        <v>2684</v>
      </c>
      <c r="G263" s="1253">
        <f>IF($F141&gt;10000000,ROUND(4.34*($F141/1000)^-0.0313,2),0)</f>
        <v>2.98</v>
      </c>
      <c r="H263" s="1253">
        <f t="shared" ref="H263:N263" si="143">IF($F141&gt;10000000,ROUND(4.34*($F141/1000)^-0.0313,2),0)</f>
        <v>2.98</v>
      </c>
      <c r="I263" s="1253">
        <f t="shared" si="143"/>
        <v>2.98</v>
      </c>
      <c r="J263" s="1253">
        <f t="shared" si="143"/>
        <v>2.98</v>
      </c>
      <c r="K263" s="1253">
        <f t="shared" si="143"/>
        <v>2.98</v>
      </c>
      <c r="L263" s="1253">
        <f t="shared" si="143"/>
        <v>2.98</v>
      </c>
      <c r="M263" s="1253">
        <f t="shared" si="143"/>
        <v>2.98</v>
      </c>
      <c r="N263" s="1253">
        <f t="shared" si="143"/>
        <v>2.98</v>
      </c>
    </row>
    <row r="264" spans="1:14" s="889" customFormat="1" ht="15" hidden="1" customHeight="1">
      <c r="A264" s="2796" t="s">
        <v>2686</v>
      </c>
      <c r="B264" s="2797"/>
      <c r="C264" s="2797"/>
      <c r="D264" s="2797"/>
      <c r="E264" s="2797"/>
      <c r="F264" s="2798"/>
      <c r="G264" s="1253">
        <f>IF($F141&lt;=10000000,IF(G$259&gt;G$260,G$260,IF(G$259&lt;G$261,G$261,G$259)),IF(G$259&gt;G$262,G$262,IF(G$259&lt;G$263,G$263,G$259)))</f>
        <v>3.92</v>
      </c>
      <c r="H264" s="1253">
        <f t="shared" ref="H264:N264" si="144">IF($F141&lt;=10000000,IF(H$259&gt;H$260,H$260,IF(H$259&lt;H$261,H$261,H$259)),IF(H$259&gt;H$262,H$262,IF(H$259&lt;H$263,H$263,H$259)))</f>
        <v>3.55</v>
      </c>
      <c r="I264" s="1253">
        <f t="shared" si="144"/>
        <v>3.92</v>
      </c>
      <c r="J264" s="1253">
        <f t="shared" si="144"/>
        <v>3.92</v>
      </c>
      <c r="K264" s="1253">
        <f t="shared" si="144"/>
        <v>3.92</v>
      </c>
      <c r="L264" s="1253">
        <f t="shared" si="144"/>
        <v>2.98</v>
      </c>
      <c r="M264" s="1253">
        <f t="shared" si="144"/>
        <v>2.98</v>
      </c>
      <c r="N264" s="1253">
        <f t="shared" si="144"/>
        <v>2.98</v>
      </c>
    </row>
    <row r="265" spans="1:14" s="889" customFormat="1" ht="15" hidden="1" customHeight="1" thickBot="1">
      <c r="A265" s="2799" t="s">
        <v>2687</v>
      </c>
      <c r="B265" s="2800"/>
      <c r="C265" s="2800"/>
      <c r="D265" s="2800"/>
      <c r="E265" s="2800"/>
      <c r="F265" s="2801"/>
      <c r="G265" s="1254">
        <f>ROUND(G264*IF(AND(G89="駅施設",G90="無し"),0.7,IF(AND(G89="駅施設",G90="有り"),0.7,IF(AND(G89="地上建物",G90="無し"),0.9,IF(AND(G89="地上建物",G90="有り"),1,0)))),2)</f>
        <v>2.74</v>
      </c>
      <c r="H265" s="1254">
        <f t="shared" ref="H265:N265" si="145">ROUND(H264*IF(AND(H89="駅施設",H90="無し"),0.7,IF(AND(H89="駅施設",H90="有り"),0.7,IF(AND(H89="地上建物",H90="無し"),0.9,IF(AND(H89="地上建物",H90="有り"),1,0)))),2)</f>
        <v>2.4900000000000002</v>
      </c>
      <c r="I265" s="1254">
        <f t="shared" si="145"/>
        <v>2.74</v>
      </c>
      <c r="J265" s="1254">
        <f t="shared" si="145"/>
        <v>2.74</v>
      </c>
      <c r="K265" s="1254">
        <f t="shared" si="145"/>
        <v>2.74</v>
      </c>
      <c r="L265" s="1254">
        <f t="shared" si="145"/>
        <v>2.09</v>
      </c>
      <c r="M265" s="1254">
        <f t="shared" si="145"/>
        <v>2.09</v>
      </c>
      <c r="N265" s="1254">
        <f t="shared" si="145"/>
        <v>2.09</v>
      </c>
    </row>
    <row r="266" spans="1:14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N267" si="146">+G84</f>
        <v>16.600000000000001</v>
      </c>
      <c r="H267" s="1243">
        <f t="shared" si="146"/>
        <v>11</v>
      </c>
      <c r="I267" s="1243">
        <f t="shared" si="146"/>
        <v>16.600000000000001</v>
      </c>
      <c r="J267" s="1243">
        <f t="shared" si="146"/>
        <v>16.600000000000001</v>
      </c>
      <c r="K267" s="1243">
        <f t="shared" si="146"/>
        <v>16.600000000000001</v>
      </c>
      <c r="L267" s="1243">
        <f t="shared" si="146"/>
        <v>0</v>
      </c>
      <c r="M267" s="1243">
        <f t="shared" si="146"/>
        <v>0</v>
      </c>
      <c r="N267" s="1244">
        <f t="shared" si="146"/>
        <v>0</v>
      </c>
    </row>
    <row r="268" spans="1:14" s="889" customFormat="1" ht="15" hidden="1" customHeight="1">
      <c r="A268" s="2802"/>
      <c r="B268" s="2805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4.88</v>
      </c>
      <c r="H268" s="1248">
        <f t="shared" ref="H268:N268" si="147">IF($F141&lt;=5000000,ROUND(18.03*(5000^-0.2027)*(H267^0.4017),2),ROUND(18.03*(($F141/1000)^-0.2027)*(H267^0.4017),2))</f>
        <v>4.1399999999999997</v>
      </c>
      <c r="I268" s="1248">
        <f t="shared" si="147"/>
        <v>4.88</v>
      </c>
      <c r="J268" s="1248">
        <f t="shared" si="147"/>
        <v>4.88</v>
      </c>
      <c r="K268" s="1248">
        <f t="shared" si="147"/>
        <v>4.88</v>
      </c>
      <c r="L268" s="1248">
        <f t="shared" si="147"/>
        <v>0</v>
      </c>
      <c r="M268" s="1248">
        <f t="shared" si="147"/>
        <v>0</v>
      </c>
      <c r="N268" s="1248">
        <f t="shared" si="147"/>
        <v>0</v>
      </c>
    </row>
    <row r="269" spans="1:14" s="889" customFormat="1" ht="15" hidden="1" customHeight="1">
      <c r="A269" s="2803"/>
      <c r="B269" s="2806"/>
      <c r="C269" s="2808" t="s">
        <v>2690</v>
      </c>
      <c r="D269" s="1124"/>
      <c r="E269" s="1249"/>
      <c r="F269" s="1247" t="s">
        <v>2683</v>
      </c>
      <c r="G269" s="1250">
        <f>IF($F141&lt;=5000000,ROUND(6.07,2),0)</f>
        <v>0</v>
      </c>
      <c r="H269" s="1250">
        <f t="shared" ref="H269:N269" si="148">IF($F141&lt;=5000000,ROUND(6.07,2),0)</f>
        <v>0</v>
      </c>
      <c r="I269" s="1250">
        <f t="shared" si="148"/>
        <v>0</v>
      </c>
      <c r="J269" s="1250">
        <f t="shared" si="148"/>
        <v>0</v>
      </c>
      <c r="K269" s="1250">
        <f t="shared" si="148"/>
        <v>0</v>
      </c>
      <c r="L269" s="1250">
        <f t="shared" si="148"/>
        <v>0</v>
      </c>
      <c r="M269" s="1250">
        <f t="shared" si="148"/>
        <v>0</v>
      </c>
      <c r="N269" s="1250">
        <f t="shared" si="148"/>
        <v>0</v>
      </c>
    </row>
    <row r="270" spans="1:14" s="889" customFormat="1" ht="15" hidden="1" customHeight="1">
      <c r="A270" s="2803"/>
      <c r="B270" s="2806"/>
      <c r="C270" s="2809"/>
      <c r="D270" s="1251"/>
      <c r="E270" s="1252"/>
      <c r="F270" s="1247" t="s">
        <v>2684</v>
      </c>
      <c r="G270" s="1250">
        <f>IF($F141&lt;=5000000,ROUND(3.59,2),0)</f>
        <v>0</v>
      </c>
      <c r="H270" s="1250">
        <f t="shared" ref="H270:N270" si="149">IF($F141&lt;=5000000,ROUND(3.59,2),0)</f>
        <v>0</v>
      </c>
      <c r="I270" s="1250">
        <f t="shared" si="149"/>
        <v>0</v>
      </c>
      <c r="J270" s="1250">
        <f t="shared" si="149"/>
        <v>0</v>
      </c>
      <c r="K270" s="1250">
        <f t="shared" si="149"/>
        <v>0</v>
      </c>
      <c r="L270" s="1250">
        <f t="shared" si="149"/>
        <v>0</v>
      </c>
      <c r="M270" s="1250">
        <f t="shared" si="149"/>
        <v>0</v>
      </c>
      <c r="N270" s="1250">
        <f t="shared" si="149"/>
        <v>0</v>
      </c>
    </row>
    <row r="271" spans="1:14" s="889" customFormat="1" ht="15" hidden="1" customHeight="1">
      <c r="A271" s="2803"/>
      <c r="B271" s="2806"/>
      <c r="C271" s="2808" t="s">
        <v>2691</v>
      </c>
      <c r="D271" s="1124"/>
      <c r="E271" s="1249"/>
      <c r="F271" s="1247" t="s">
        <v>2683</v>
      </c>
      <c r="G271" s="1253">
        <f>IF($F141&gt;5000000,ROUND(11.74*($F141/1000)^-0.0774,2),0)</f>
        <v>4.63</v>
      </c>
      <c r="H271" s="1253">
        <f t="shared" ref="H271:N271" si="150">IF($F141&gt;5000000,ROUND(11.74*($F141/1000)^-0.0774,2),0)</f>
        <v>4.63</v>
      </c>
      <c r="I271" s="1253">
        <f t="shared" si="150"/>
        <v>4.63</v>
      </c>
      <c r="J271" s="1253">
        <f t="shared" si="150"/>
        <v>4.63</v>
      </c>
      <c r="K271" s="1253">
        <f t="shared" si="150"/>
        <v>4.63</v>
      </c>
      <c r="L271" s="1253">
        <f t="shared" si="150"/>
        <v>4.63</v>
      </c>
      <c r="M271" s="1253">
        <f t="shared" si="150"/>
        <v>4.63</v>
      </c>
      <c r="N271" s="1253">
        <f t="shared" si="150"/>
        <v>4.63</v>
      </c>
    </row>
    <row r="272" spans="1:14" s="889" customFormat="1" ht="15" hidden="1" customHeight="1">
      <c r="A272" s="2804"/>
      <c r="B272" s="2807"/>
      <c r="C272" s="2809"/>
      <c r="D272" s="1251"/>
      <c r="E272" s="1252"/>
      <c r="F272" s="1247" t="s">
        <v>2684</v>
      </c>
      <c r="G272" s="1253">
        <f>IF($F141&gt;5000000,ROUND(6.94*($F141/1000)^-0.0774,2),0)</f>
        <v>2.74</v>
      </c>
      <c r="H272" s="1253">
        <f t="shared" ref="H272:N272" si="151">IF($F141&gt;5000000,ROUND(6.94*($F141/1000)^-0.0774,2),0)</f>
        <v>2.74</v>
      </c>
      <c r="I272" s="1253">
        <f t="shared" si="151"/>
        <v>2.74</v>
      </c>
      <c r="J272" s="1253">
        <f t="shared" si="151"/>
        <v>2.74</v>
      </c>
      <c r="K272" s="1253">
        <f t="shared" si="151"/>
        <v>2.74</v>
      </c>
      <c r="L272" s="1253">
        <f t="shared" si="151"/>
        <v>2.74</v>
      </c>
      <c r="M272" s="1253">
        <f t="shared" si="151"/>
        <v>2.74</v>
      </c>
      <c r="N272" s="1253">
        <f t="shared" si="151"/>
        <v>2.74</v>
      </c>
    </row>
    <row r="273" spans="1:14" s="889" customFormat="1" ht="15" hidden="1" customHeight="1">
      <c r="A273" s="2796" t="s">
        <v>2686</v>
      </c>
      <c r="B273" s="2797"/>
      <c r="C273" s="2797"/>
      <c r="D273" s="2797"/>
      <c r="E273" s="2797"/>
      <c r="F273" s="2798"/>
      <c r="G273" s="1256">
        <f>IF($F141&lt;=5000000,IF(G$268&gt;G$269,G$269,IF(G$268&lt;G$270,G$270,G$268)),IF(G$268&gt;G$271,G$271,IF(G$268&lt;G$272,G$272,G$268)))</f>
        <v>4.63</v>
      </c>
      <c r="H273" s="1256">
        <f t="shared" ref="H273:N273" si="152">IF($F141&lt;=5000000,IF(H$268&gt;H$269,H$269,IF(H$268&lt;H$270,H$270,H$268)),IF(H$268&gt;H$271,H$271,IF(H$268&lt;H$272,H$272,H$268)))</f>
        <v>4.1399999999999997</v>
      </c>
      <c r="I273" s="1256">
        <f t="shared" si="152"/>
        <v>4.63</v>
      </c>
      <c r="J273" s="1256">
        <f t="shared" si="152"/>
        <v>4.63</v>
      </c>
      <c r="K273" s="1256">
        <f t="shared" si="152"/>
        <v>4.63</v>
      </c>
      <c r="L273" s="1256">
        <f t="shared" si="152"/>
        <v>2.74</v>
      </c>
      <c r="M273" s="1256">
        <f t="shared" si="152"/>
        <v>2.74</v>
      </c>
      <c r="N273" s="1256">
        <f t="shared" si="152"/>
        <v>2.74</v>
      </c>
    </row>
    <row r="274" spans="1:14" s="889" customFormat="1" ht="15" hidden="1" customHeight="1" thickBot="1">
      <c r="A274" s="2799" t="s">
        <v>2687</v>
      </c>
      <c r="B274" s="2800"/>
      <c r="C274" s="2800"/>
      <c r="D274" s="2800"/>
      <c r="E274" s="2800"/>
      <c r="F274" s="2801"/>
      <c r="G274" s="1254">
        <f>ROUND(G273*IF(AND(G89="駅施設",G90="無し"),0.7,IF(AND(G89="駅施設",G90="有り"),0.7,IF(AND(G89="地上建物",G90="無し"),0.9,IF(AND(G89="地上建物",G90="有り"),1,0)))),2)</f>
        <v>3.24</v>
      </c>
      <c r="H274" s="1254">
        <f t="shared" ref="H274:N274" si="153">ROUND(H273*IF(AND(H89="駅施設",H90="無し"),0.7,IF(AND(H89="駅施設",H90="有り"),0.7,IF(AND(H89="地上建物",H90="無し"),0.9,IF(AND(H89="地上建物",H90="有り"),1,0)))),2)</f>
        <v>2.9</v>
      </c>
      <c r="I274" s="1254">
        <f t="shared" si="153"/>
        <v>3.24</v>
      </c>
      <c r="J274" s="1254">
        <f t="shared" si="153"/>
        <v>3.24</v>
      </c>
      <c r="K274" s="1254">
        <f t="shared" si="153"/>
        <v>3.24</v>
      </c>
      <c r="L274" s="1254">
        <f t="shared" si="153"/>
        <v>1.92</v>
      </c>
      <c r="M274" s="1254">
        <f t="shared" si="153"/>
        <v>1.92</v>
      </c>
      <c r="N274" s="1254">
        <f t="shared" si="153"/>
        <v>1.92</v>
      </c>
    </row>
    <row r="275" spans="1:14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N276" si="154">+H284</f>
        <v>11</v>
      </c>
      <c r="I276" s="1243">
        <f t="shared" si="154"/>
        <v>16.600000000000001</v>
      </c>
      <c r="J276" s="1243">
        <f t="shared" si="154"/>
        <v>16.600000000000001</v>
      </c>
      <c r="K276" s="1243">
        <f>+K284</f>
        <v>16.600000000000001</v>
      </c>
      <c r="L276" s="1243">
        <f t="shared" si="154"/>
        <v>0</v>
      </c>
      <c r="M276" s="1243">
        <f t="shared" si="154"/>
        <v>0</v>
      </c>
      <c r="N276" s="1244">
        <f t="shared" si="154"/>
        <v>0</v>
      </c>
    </row>
    <row r="277" spans="1:14" s="889" customFormat="1" ht="15" hidden="1" customHeight="1">
      <c r="A277" s="2802"/>
      <c r="B277" s="2805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12.98</v>
      </c>
      <c r="H277" s="1248">
        <f t="shared" ref="H277:N277" si="155">IF($F180&lt;=10000000,ROUND(151.08*((10000)^-0.3396)*(H276^0.586),2),ROUND(151.08*(($F180/1000)^-0.3396)*(H276^0.586),2))</f>
        <v>10.199999999999999</v>
      </c>
      <c r="I277" s="1248">
        <f t="shared" si="155"/>
        <v>12.98</v>
      </c>
      <c r="J277" s="1248">
        <f t="shared" si="155"/>
        <v>12.98</v>
      </c>
      <c r="K277" s="1248">
        <f t="shared" si="155"/>
        <v>12.98</v>
      </c>
      <c r="L277" s="1248">
        <f t="shared" si="155"/>
        <v>0</v>
      </c>
      <c r="M277" s="1248">
        <f t="shared" si="155"/>
        <v>0</v>
      </c>
      <c r="N277" s="1248">
        <f t="shared" si="155"/>
        <v>0</v>
      </c>
    </row>
    <row r="278" spans="1:14" s="889" customFormat="1" ht="15" hidden="1" customHeight="1">
      <c r="A278" s="2803"/>
      <c r="B278" s="2806"/>
      <c r="C278" s="2808" t="s">
        <v>2695</v>
      </c>
      <c r="D278" s="1124"/>
      <c r="E278" s="1249"/>
      <c r="F278" s="1247" t="s">
        <v>2683</v>
      </c>
      <c r="G278" s="1250">
        <f>IF($F180&lt;=10000000,ROUND(20.13,2),0)</f>
        <v>0</v>
      </c>
      <c r="H278" s="1250">
        <f t="shared" ref="H278:N278" si="156">IF($F180&lt;=10000000,ROUND(20.13,2),0)</f>
        <v>0</v>
      </c>
      <c r="I278" s="1250">
        <f t="shared" si="156"/>
        <v>0</v>
      </c>
      <c r="J278" s="1250">
        <f t="shared" si="156"/>
        <v>0</v>
      </c>
      <c r="K278" s="1250">
        <f t="shared" si="156"/>
        <v>0</v>
      </c>
      <c r="L278" s="1250">
        <f t="shared" si="156"/>
        <v>0</v>
      </c>
      <c r="M278" s="1250">
        <f t="shared" si="156"/>
        <v>0</v>
      </c>
      <c r="N278" s="1250">
        <f t="shared" si="156"/>
        <v>0</v>
      </c>
    </row>
    <row r="279" spans="1:14" s="889" customFormat="1" ht="15" hidden="1" customHeight="1">
      <c r="A279" s="2803"/>
      <c r="B279" s="2806"/>
      <c r="C279" s="2809"/>
      <c r="D279" s="1251"/>
      <c r="E279" s="1252"/>
      <c r="F279" s="1247" t="s">
        <v>2684</v>
      </c>
      <c r="G279" s="1250">
        <f>IF($F180&lt;=10000000,ROUND(10.01,2),0)</f>
        <v>0</v>
      </c>
      <c r="H279" s="1250">
        <f t="shared" ref="H279:N279" si="157">IF($F180&lt;=10000000,ROUND(10.01,2),0)</f>
        <v>0</v>
      </c>
      <c r="I279" s="1250">
        <f t="shared" si="157"/>
        <v>0</v>
      </c>
      <c r="J279" s="1250">
        <f t="shared" si="157"/>
        <v>0</v>
      </c>
      <c r="K279" s="1250">
        <f t="shared" si="157"/>
        <v>0</v>
      </c>
      <c r="L279" s="1250">
        <f t="shared" si="157"/>
        <v>0</v>
      </c>
      <c r="M279" s="1250">
        <f t="shared" si="157"/>
        <v>0</v>
      </c>
      <c r="N279" s="1250">
        <f t="shared" si="157"/>
        <v>0</v>
      </c>
    </row>
    <row r="280" spans="1:14" s="889" customFormat="1" ht="15" hidden="1" customHeight="1">
      <c r="A280" s="2803"/>
      <c r="B280" s="2806"/>
      <c r="C280" s="2808" t="s">
        <v>2696</v>
      </c>
      <c r="D280" s="1124"/>
      <c r="E280" s="1249"/>
      <c r="F280" s="1247" t="s">
        <v>2683</v>
      </c>
      <c r="G280" s="1253">
        <f>IF($F180&gt;10000000,ROUND(75.97*($F180/1000)^-0.1442,2),0)</f>
        <v>13.32</v>
      </c>
      <c r="H280" s="1253">
        <f t="shared" ref="H280:N280" si="158">IF($F180&gt;10000000,ROUND(75.97*($F180/1000)^-0.1442,2),0)</f>
        <v>13.32</v>
      </c>
      <c r="I280" s="1253">
        <f t="shared" si="158"/>
        <v>13.32</v>
      </c>
      <c r="J280" s="1253">
        <f t="shared" si="158"/>
        <v>13.32</v>
      </c>
      <c r="K280" s="1253">
        <f t="shared" si="158"/>
        <v>13.32</v>
      </c>
      <c r="L280" s="1253">
        <f t="shared" si="158"/>
        <v>13.32</v>
      </c>
      <c r="M280" s="1253">
        <f t="shared" si="158"/>
        <v>13.32</v>
      </c>
      <c r="N280" s="1253">
        <f t="shared" si="158"/>
        <v>13.32</v>
      </c>
    </row>
    <row r="281" spans="1:14" s="889" customFormat="1" ht="15" hidden="1" customHeight="1">
      <c r="A281" s="2804"/>
      <c r="B281" s="2807"/>
      <c r="C281" s="2809"/>
      <c r="D281" s="1251"/>
      <c r="E281" s="1252"/>
      <c r="F281" s="1247" t="s">
        <v>2684</v>
      </c>
      <c r="G281" s="1253">
        <f>IF($F180&gt;10000000,ROUND(37.76*($F180/1000)^-0.1442,2),0)</f>
        <v>6.62</v>
      </c>
      <c r="H281" s="1253">
        <f t="shared" ref="H281:N281" si="159">IF($F180&gt;10000000,ROUND(37.76*($F180/1000)^-0.1442,2),0)</f>
        <v>6.62</v>
      </c>
      <c r="I281" s="1253">
        <f t="shared" si="159"/>
        <v>6.62</v>
      </c>
      <c r="J281" s="1253">
        <f t="shared" si="159"/>
        <v>6.62</v>
      </c>
      <c r="K281" s="1253">
        <f t="shared" si="159"/>
        <v>6.62</v>
      </c>
      <c r="L281" s="1253">
        <f t="shared" si="159"/>
        <v>6.62</v>
      </c>
      <c r="M281" s="1253">
        <f t="shared" si="159"/>
        <v>6.62</v>
      </c>
      <c r="N281" s="1253">
        <f t="shared" si="159"/>
        <v>6.62</v>
      </c>
    </row>
    <row r="282" spans="1:14" s="889" customFormat="1" ht="15" hidden="1" customHeight="1" thickBot="1">
      <c r="A282" s="2811" t="s">
        <v>2697</v>
      </c>
      <c r="B282" s="2812"/>
      <c r="C282" s="2812"/>
      <c r="D282" s="2812"/>
      <c r="E282" s="1257"/>
      <c r="F282" s="1258"/>
      <c r="G282" s="1259">
        <f>IF($F180&lt;=10000000,IF(G$277&gt;G$278,G$278,IF(G$277&lt;G$279,G$279,G$277)),IF(G$277&gt;G$280,G$280,IF(G$277&lt;G$281,G$281,G$277)))</f>
        <v>12.98</v>
      </c>
      <c r="H282" s="1259">
        <f t="shared" ref="H282:N282" si="160">IF($F180&lt;=10000000,IF(H$277&gt;H$278,H$278,IF(H$277&lt;H$279,H$279,H$277)),IF(H$277&gt;H$280,H$280,IF(H$277&lt;H$281,H$281,H$277)))</f>
        <v>10.199999999999999</v>
      </c>
      <c r="I282" s="1259">
        <f t="shared" si="160"/>
        <v>12.98</v>
      </c>
      <c r="J282" s="1259">
        <f t="shared" si="160"/>
        <v>12.98</v>
      </c>
      <c r="K282" s="1259">
        <f t="shared" si="160"/>
        <v>12.98</v>
      </c>
      <c r="L282" s="1259">
        <f t="shared" si="160"/>
        <v>6.62</v>
      </c>
      <c r="M282" s="1259">
        <f t="shared" si="160"/>
        <v>6.62</v>
      </c>
      <c r="N282" s="1259">
        <f t="shared" si="160"/>
        <v>6.62</v>
      </c>
    </row>
    <row r="283" spans="1:14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N284" si="161">+G84</f>
        <v>16.600000000000001</v>
      </c>
      <c r="H284" s="1243">
        <f t="shared" si="161"/>
        <v>11</v>
      </c>
      <c r="I284" s="1243">
        <f t="shared" si="161"/>
        <v>16.600000000000001</v>
      </c>
      <c r="J284" s="1243">
        <f t="shared" si="161"/>
        <v>16.600000000000001</v>
      </c>
      <c r="K284" s="1243">
        <f t="shared" si="161"/>
        <v>16.600000000000001</v>
      </c>
      <c r="L284" s="1243">
        <f t="shared" si="161"/>
        <v>0</v>
      </c>
      <c r="M284" s="1243">
        <f t="shared" si="161"/>
        <v>0</v>
      </c>
      <c r="N284" s="1244">
        <f t="shared" si="161"/>
        <v>0</v>
      </c>
    </row>
    <row r="285" spans="1:14" s="889" customFormat="1" ht="15" hidden="1" customHeight="1">
      <c r="A285" s="2802"/>
      <c r="B285" s="2805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12.97</v>
      </c>
      <c r="H285" s="1248">
        <f t="shared" ref="H285:N285" si="162">IF($F180&lt;=5000000,ROUND(356.2*((5000)^-0.4085)*(H284^0.5766),2),ROUND(356.2*(($F180/1000)^-0.4085)*(H284^0.5766),2))</f>
        <v>10.23</v>
      </c>
      <c r="I285" s="1248">
        <f t="shared" si="162"/>
        <v>12.97</v>
      </c>
      <c r="J285" s="1248">
        <f t="shared" si="162"/>
        <v>12.97</v>
      </c>
      <c r="K285" s="1248">
        <f t="shared" si="162"/>
        <v>12.97</v>
      </c>
      <c r="L285" s="1248">
        <f t="shared" si="162"/>
        <v>0</v>
      </c>
      <c r="M285" s="1248">
        <f t="shared" si="162"/>
        <v>0</v>
      </c>
      <c r="N285" s="1248">
        <f t="shared" si="162"/>
        <v>0</v>
      </c>
    </row>
    <row r="286" spans="1:14" s="889" customFormat="1" ht="15" hidden="1" customHeight="1">
      <c r="A286" s="2803"/>
      <c r="B286" s="2806"/>
      <c r="C286" s="2808" t="s">
        <v>2698</v>
      </c>
      <c r="D286" s="1124"/>
      <c r="E286" s="1249"/>
      <c r="F286" s="1247" t="s">
        <v>2683</v>
      </c>
      <c r="G286" s="1250">
        <f>IF($F180&lt;=5000000,ROUND(26.86,2),0)</f>
        <v>0</v>
      </c>
      <c r="H286" s="1250">
        <f t="shared" ref="H286:N286" si="163">IF($F180&lt;=5000000,ROUND(26.86,2),0)</f>
        <v>0</v>
      </c>
      <c r="I286" s="1250">
        <f t="shared" si="163"/>
        <v>0</v>
      </c>
      <c r="J286" s="1250">
        <f t="shared" si="163"/>
        <v>0</v>
      </c>
      <c r="K286" s="1250">
        <f t="shared" si="163"/>
        <v>0</v>
      </c>
      <c r="L286" s="1250">
        <f t="shared" si="163"/>
        <v>0</v>
      </c>
      <c r="M286" s="1250">
        <f t="shared" si="163"/>
        <v>0</v>
      </c>
      <c r="N286" s="1250">
        <f t="shared" si="163"/>
        <v>0</v>
      </c>
    </row>
    <row r="287" spans="1:14" s="889" customFormat="1" ht="15" hidden="1" customHeight="1">
      <c r="A287" s="2803"/>
      <c r="B287" s="2806"/>
      <c r="C287" s="2809"/>
      <c r="D287" s="1251"/>
      <c r="E287" s="1252"/>
      <c r="F287" s="1247" t="s">
        <v>2684</v>
      </c>
      <c r="G287" s="1250">
        <f>IF($F180&lt;=5000000,ROUND(12.7,2),0)</f>
        <v>0</v>
      </c>
      <c r="H287" s="1250">
        <f t="shared" ref="H287:N287" si="164">IF($F180&lt;=5000000,ROUND(12.7,2),0)</f>
        <v>0</v>
      </c>
      <c r="I287" s="1250">
        <f t="shared" si="164"/>
        <v>0</v>
      </c>
      <c r="J287" s="1250">
        <f t="shared" si="164"/>
        <v>0</v>
      </c>
      <c r="K287" s="1250">
        <f t="shared" si="164"/>
        <v>0</v>
      </c>
      <c r="L287" s="1250">
        <f t="shared" si="164"/>
        <v>0</v>
      </c>
      <c r="M287" s="1250">
        <f t="shared" si="164"/>
        <v>0</v>
      </c>
      <c r="N287" s="1250">
        <f t="shared" si="164"/>
        <v>0</v>
      </c>
    </row>
    <row r="288" spans="1:14" s="889" customFormat="1" ht="15" hidden="1" customHeight="1">
      <c r="A288" s="2803"/>
      <c r="B288" s="2806"/>
      <c r="C288" s="2808" t="s">
        <v>2699</v>
      </c>
      <c r="D288" s="1124"/>
      <c r="E288" s="1249"/>
      <c r="F288" s="1247" t="s">
        <v>2683</v>
      </c>
      <c r="G288" s="1253">
        <f>IF($F180&gt;5000000,ROUND(184.58*($F180/1000)^-0.2263,2),0)</f>
        <v>12.01</v>
      </c>
      <c r="H288" s="1253">
        <f t="shared" ref="H288:N288" si="165">IF($F180&gt;5000000,ROUND(184.58*($F180/1000)^-0.2263,2),0)</f>
        <v>12.01</v>
      </c>
      <c r="I288" s="1253">
        <f t="shared" si="165"/>
        <v>12.01</v>
      </c>
      <c r="J288" s="1253">
        <f t="shared" si="165"/>
        <v>12.01</v>
      </c>
      <c r="K288" s="1253">
        <f t="shared" si="165"/>
        <v>12.01</v>
      </c>
      <c r="L288" s="1253">
        <f t="shared" si="165"/>
        <v>12.01</v>
      </c>
      <c r="M288" s="1253">
        <f t="shared" si="165"/>
        <v>12.01</v>
      </c>
      <c r="N288" s="1253">
        <f t="shared" si="165"/>
        <v>12.01</v>
      </c>
    </row>
    <row r="289" spans="1:14" s="889" customFormat="1" ht="15" hidden="1" customHeight="1">
      <c r="A289" s="2804"/>
      <c r="B289" s="2807"/>
      <c r="C289" s="2809"/>
      <c r="D289" s="1251"/>
      <c r="E289" s="1252"/>
      <c r="F289" s="1247" t="s">
        <v>2684</v>
      </c>
      <c r="G289" s="1253">
        <f>IF($F180&gt;5000000,ROUND(87.29*($F180/1000)^-0.2263,2),0)</f>
        <v>5.68</v>
      </c>
      <c r="H289" s="1253">
        <f t="shared" ref="H289:N289" si="166">IF($F180&gt;5000000,ROUND(87.29*($F180/1000)^-0.2263,2),0)</f>
        <v>5.68</v>
      </c>
      <c r="I289" s="1253">
        <f t="shared" si="166"/>
        <v>5.68</v>
      </c>
      <c r="J289" s="1253">
        <f t="shared" si="166"/>
        <v>5.68</v>
      </c>
      <c r="K289" s="1253">
        <f t="shared" si="166"/>
        <v>5.68</v>
      </c>
      <c r="L289" s="1253">
        <f t="shared" si="166"/>
        <v>5.68</v>
      </c>
      <c r="M289" s="1253">
        <f t="shared" si="166"/>
        <v>5.68</v>
      </c>
      <c r="N289" s="1253">
        <f t="shared" si="166"/>
        <v>5.68</v>
      </c>
    </row>
    <row r="290" spans="1:14" s="889" customFormat="1" ht="15" hidden="1" customHeight="1" thickBot="1">
      <c r="A290" s="2811" t="s">
        <v>2697</v>
      </c>
      <c r="B290" s="2812"/>
      <c r="C290" s="2812"/>
      <c r="D290" s="2812"/>
      <c r="E290" s="1260"/>
      <c r="F290" s="1258"/>
      <c r="G290" s="1261">
        <f>IF($F180&lt;=5000000,IF(G$285&gt;G$286,G$286,IF(G$285&lt;G$287,G$287,G$285)),IF(G$285&gt;G$288,G$288,IF(G$285&lt;G$289,G$289,G$285)))</f>
        <v>12.01</v>
      </c>
      <c r="H290" s="1261">
        <f t="shared" ref="H290:N290" si="167">IF($F180&lt;=5000000,IF(H$285&gt;H$286,H$286,IF(H$285&lt;H$287,H$287,H$285)),IF(H$285&gt;H$288,H$288,IF(H$285&lt;H$289,H$289,H$285)))</f>
        <v>10.23</v>
      </c>
      <c r="I290" s="1261">
        <f t="shared" si="167"/>
        <v>12.01</v>
      </c>
      <c r="J290" s="1261">
        <f t="shared" si="167"/>
        <v>12.01</v>
      </c>
      <c r="K290" s="1261">
        <f t="shared" si="167"/>
        <v>12.01</v>
      </c>
      <c r="L290" s="1261">
        <f t="shared" si="167"/>
        <v>5.68</v>
      </c>
      <c r="M290" s="1261">
        <f t="shared" si="167"/>
        <v>5.68</v>
      </c>
      <c r="N290" s="1261">
        <f t="shared" si="167"/>
        <v>5.68</v>
      </c>
    </row>
    <row r="291" spans="1:14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9" customFormat="1" ht="14.25" hidden="1" customHeight="1">
      <c r="A293" s="2802"/>
      <c r="B293" s="2805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12.18</v>
      </c>
      <c r="H293" s="1266"/>
      <c r="I293" s="1267"/>
      <c r="J293" s="1267"/>
      <c r="K293" s="1267"/>
      <c r="L293" s="1267"/>
      <c r="M293" s="1267"/>
      <c r="N293" s="1267"/>
    </row>
    <row r="294" spans="1:14" s="889" customFormat="1" ht="14.25" hidden="1" customHeight="1">
      <c r="A294" s="2803"/>
      <c r="B294" s="2806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272"/>
      <c r="N294" s="1272"/>
    </row>
    <row r="295" spans="1:14" s="889" customFormat="1" ht="15" hidden="1" customHeight="1">
      <c r="A295" s="2804"/>
      <c r="B295" s="2807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9" customFormat="1" ht="15" hidden="1" customHeight="1" thickBot="1">
      <c r="A296" s="2811" t="s">
        <v>2705</v>
      </c>
      <c r="B296" s="2812"/>
      <c r="C296" s="2812"/>
      <c r="D296" s="2812"/>
      <c r="E296" s="1260"/>
      <c r="F296" s="1258"/>
      <c r="G296" s="1275">
        <f>IF($F224&lt;=5000000,G294,IF($F224&gt;3000000000,G295,G293))</f>
        <v>12.18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ア）東梅田駅</v>
      </c>
      <c r="G298" s="1028"/>
      <c r="H298" s="1029"/>
      <c r="I298" s="1030"/>
      <c r="J298" s="837"/>
      <c r="K298" s="837"/>
      <c r="L298" s="837"/>
      <c r="M298" s="837"/>
      <c r="N298" s="838" t="s">
        <v>2706</v>
      </c>
    </row>
    <row r="299" spans="1:14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4"/>
      <c r="N299" s="1038"/>
    </row>
    <row r="300" spans="1:14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N300" si="168">+G8</f>
        <v>16.600000000000001</v>
      </c>
      <c r="H300" s="876">
        <f t="shared" si="168"/>
        <v>11</v>
      </c>
      <c r="I300" s="876">
        <f t="shared" si="168"/>
        <v>16.600000000000001</v>
      </c>
      <c r="J300" s="876">
        <f t="shared" si="168"/>
        <v>16.600000000000001</v>
      </c>
      <c r="K300" s="876">
        <f t="shared" si="168"/>
        <v>16.600000000000001</v>
      </c>
      <c r="L300" s="876">
        <f t="shared" si="168"/>
        <v>0</v>
      </c>
      <c r="M300" s="876">
        <f t="shared" si="168"/>
        <v>0</v>
      </c>
      <c r="N300" s="877">
        <f t="shared" si="168"/>
        <v>0</v>
      </c>
    </row>
    <row r="301" spans="1:14" s="878" customFormat="1" ht="15" customHeight="1">
      <c r="A301" s="1285"/>
      <c r="B301" s="1286"/>
      <c r="C301" s="881" t="s">
        <v>2512</v>
      </c>
      <c r="D301" s="882"/>
      <c r="E301" s="883"/>
      <c r="F301" s="884" t="s">
        <v>2589</v>
      </c>
      <c r="G301" s="1280" t="str">
        <f t="shared" ref="G301:N301" si="169">G85</f>
        <v>改修</v>
      </c>
      <c r="H301" s="1280" t="str">
        <f t="shared" si="169"/>
        <v>改修</v>
      </c>
      <c r="I301" s="1280" t="str">
        <f t="shared" si="169"/>
        <v>改修</v>
      </c>
      <c r="J301" s="1280" t="str">
        <f t="shared" si="169"/>
        <v>改修</v>
      </c>
      <c r="K301" s="1280" t="str">
        <f t="shared" si="169"/>
        <v>改修</v>
      </c>
      <c r="L301" s="1280">
        <f t="shared" si="169"/>
        <v>0</v>
      </c>
      <c r="M301" s="1280">
        <f t="shared" si="169"/>
        <v>0</v>
      </c>
      <c r="N301" s="1280">
        <f t="shared" si="169"/>
        <v>0</v>
      </c>
    </row>
    <row r="302" spans="1:14" s="889" customFormat="1" ht="15" customHeight="1">
      <c r="A302" s="1285"/>
      <c r="B302" s="1286"/>
      <c r="C302" s="1286" t="s">
        <v>2590</v>
      </c>
      <c r="D302" s="1286"/>
      <c r="E302" s="1181" t="str">
        <f>+E86</f>
        <v>無し</v>
      </c>
      <c r="F302" s="1044" t="s">
        <v>2505</v>
      </c>
      <c r="G302" s="1281" t="str">
        <f t="shared" ref="G302:N302" si="170">+G3</f>
        <v>工事1</v>
      </c>
      <c r="H302" s="1281" t="str">
        <f t="shared" si="170"/>
        <v>工事2</v>
      </c>
      <c r="I302" s="1281" t="str">
        <f t="shared" si="170"/>
        <v>工事3</v>
      </c>
      <c r="J302" s="1281" t="str">
        <f t="shared" si="170"/>
        <v>工事4</v>
      </c>
      <c r="K302" s="1281" t="str">
        <f t="shared" si="170"/>
        <v>工事5</v>
      </c>
      <c r="L302" s="1281">
        <f t="shared" si="170"/>
        <v>0</v>
      </c>
      <c r="M302" s="1281">
        <f t="shared" si="170"/>
        <v>0</v>
      </c>
      <c r="N302" s="1282">
        <f t="shared" si="170"/>
        <v>0</v>
      </c>
    </row>
    <row r="303" spans="1:14" s="889" customFormat="1" ht="15" customHeight="1">
      <c r="A303" s="1285"/>
      <c r="B303" s="1286"/>
      <c r="C303" s="1286" t="s">
        <v>2592</v>
      </c>
      <c r="D303" s="1286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9" customFormat="1" ht="15" customHeight="1">
      <c r="A304" s="2813" t="s">
        <v>2513</v>
      </c>
      <c r="B304" s="2814"/>
      <c r="C304" s="2814"/>
      <c r="D304" s="2814"/>
      <c r="E304" s="2814"/>
      <c r="F304" s="2815"/>
      <c r="G304" s="887" t="str">
        <f t="shared" ref="G304:N304" si="171">+G10</f>
        <v>積上げ・率処理併用</v>
      </c>
      <c r="H304" s="887" t="str">
        <f t="shared" si="171"/>
        <v>積上げ・率処理併用</v>
      </c>
      <c r="I304" s="887" t="str">
        <f t="shared" si="171"/>
        <v>積上げ・率処理併用</v>
      </c>
      <c r="J304" s="887" t="str">
        <f t="shared" si="171"/>
        <v>積上げ・率処理併用</v>
      </c>
      <c r="K304" s="887" t="str">
        <f t="shared" si="171"/>
        <v>積上げ・率処理併用</v>
      </c>
      <c r="L304" s="887" t="str">
        <f t="shared" si="171"/>
        <v>積上げ・率処理併用</v>
      </c>
      <c r="M304" s="887" t="str">
        <f t="shared" si="171"/>
        <v>積上げ・率処理併用</v>
      </c>
      <c r="N304" s="888" t="str">
        <f t="shared" si="171"/>
        <v>積上げ・率処理併用</v>
      </c>
    </row>
    <row r="305" spans="1:14" s="889" customFormat="1" ht="30" customHeight="1">
      <c r="A305" s="2816" t="s">
        <v>2514</v>
      </c>
      <c r="B305" s="2817"/>
      <c r="C305" s="2817"/>
      <c r="D305" s="2817"/>
      <c r="E305" s="2817"/>
      <c r="F305" s="2818"/>
      <c r="G305" s="1287" t="str">
        <f>G11</f>
        <v>駅施設</v>
      </c>
      <c r="H305" s="1287" t="str">
        <f t="shared" ref="H305:N306" si="172">H11</f>
        <v>駅施設</v>
      </c>
      <c r="I305" s="1287" t="str">
        <f t="shared" si="172"/>
        <v>駅施設</v>
      </c>
      <c r="J305" s="1287" t="str">
        <f t="shared" si="172"/>
        <v>駅施設</v>
      </c>
      <c r="K305" s="1287" t="str">
        <f t="shared" si="172"/>
        <v>駅施設</v>
      </c>
      <c r="L305" s="1287" t="str">
        <f t="shared" si="172"/>
        <v>駅施設</v>
      </c>
      <c r="M305" s="1287" t="str">
        <f t="shared" si="172"/>
        <v>駅施設</v>
      </c>
      <c r="N305" s="1288" t="str">
        <f t="shared" si="172"/>
        <v>駅施設</v>
      </c>
    </row>
    <row r="306" spans="1:14" s="889" customFormat="1" ht="30" customHeight="1">
      <c r="A306" s="2747" t="s">
        <v>2515</v>
      </c>
      <c r="B306" s="2748"/>
      <c r="C306" s="2748"/>
      <c r="D306" s="2748"/>
      <c r="E306" s="2748"/>
      <c r="F306" s="2749"/>
      <c r="G306" s="1289" t="str">
        <f>G12</f>
        <v>無し</v>
      </c>
      <c r="H306" s="1289" t="str">
        <f t="shared" si="172"/>
        <v>無し</v>
      </c>
      <c r="I306" s="1289" t="str">
        <f t="shared" si="172"/>
        <v>無し</v>
      </c>
      <c r="J306" s="1289" t="str">
        <f t="shared" si="172"/>
        <v>無し</v>
      </c>
      <c r="K306" s="1289" t="str">
        <f t="shared" si="172"/>
        <v>無し</v>
      </c>
      <c r="L306" s="1289" t="str">
        <f t="shared" si="172"/>
        <v>無し</v>
      </c>
      <c r="M306" s="1289" t="str">
        <f t="shared" si="172"/>
        <v>無し</v>
      </c>
      <c r="N306" s="1290" t="str">
        <f t="shared" si="172"/>
        <v>無し</v>
      </c>
    </row>
    <row r="307" spans="1:14" s="889" customFormat="1" ht="15" customHeight="1">
      <c r="A307" s="870"/>
      <c r="B307" s="894" t="s">
        <v>2597</v>
      </c>
      <c r="C307" s="895"/>
      <c r="D307" s="895"/>
      <c r="E307" s="896"/>
      <c r="F307" s="897">
        <f>SUM(G307:N307)</f>
        <v>184923554</v>
      </c>
      <c r="G307" s="898">
        <f>+G308+G312</f>
        <v>35461076</v>
      </c>
      <c r="H307" s="898">
        <f t="shared" ref="H307:N307" si="173">+H308+H312</f>
        <v>22312420</v>
      </c>
      <c r="I307" s="898">
        <f t="shared" si="173"/>
        <v>2131490</v>
      </c>
      <c r="J307" s="898">
        <f t="shared" si="173"/>
        <v>114710322</v>
      </c>
      <c r="K307" s="898">
        <f t="shared" si="173"/>
        <v>10308246</v>
      </c>
      <c r="L307" s="898">
        <f t="shared" si="173"/>
        <v>0</v>
      </c>
      <c r="M307" s="898">
        <f t="shared" si="173"/>
        <v>0</v>
      </c>
      <c r="N307" s="899">
        <f t="shared" si="173"/>
        <v>0</v>
      </c>
    </row>
    <row r="308" spans="1:14" s="889" customFormat="1" ht="15" customHeight="1">
      <c r="A308" s="1285"/>
      <c r="B308" s="1286"/>
      <c r="C308" s="691" t="s">
        <v>2517</v>
      </c>
      <c r="D308" s="692"/>
      <c r="E308" s="874"/>
      <c r="F308" s="900">
        <f>SUM(G308:N308)</f>
        <v>173430272</v>
      </c>
      <c r="G308" s="1291">
        <f t="shared" ref="G308:N308" si="174">+G92+G14</f>
        <v>30975116</v>
      </c>
      <c r="H308" s="1291">
        <f t="shared" si="174"/>
        <v>21555646</v>
      </c>
      <c r="I308" s="1291">
        <f t="shared" si="174"/>
        <v>2052481</v>
      </c>
      <c r="J308" s="1291">
        <f t="shared" si="174"/>
        <v>108957216</v>
      </c>
      <c r="K308" s="1291">
        <f t="shared" si="174"/>
        <v>9889813</v>
      </c>
      <c r="L308" s="1291">
        <f t="shared" si="174"/>
        <v>0</v>
      </c>
      <c r="M308" s="1291">
        <f t="shared" si="174"/>
        <v>0</v>
      </c>
      <c r="N308" s="1292">
        <f t="shared" si="174"/>
        <v>0</v>
      </c>
    </row>
    <row r="309" spans="1:14" s="889" customFormat="1" ht="15" customHeight="1">
      <c r="A309" s="1285"/>
      <c r="B309" s="1286"/>
      <c r="C309" s="1054"/>
      <c r="D309" s="1054"/>
      <c r="E309" s="903"/>
      <c r="F309" s="904" t="s">
        <v>2598</v>
      </c>
      <c r="G309" s="905">
        <f t="shared" ref="G309:N309" si="175">SUM(G401:G410)</f>
        <v>4852524</v>
      </c>
      <c r="H309" s="905">
        <f t="shared" si="175"/>
        <v>10832</v>
      </c>
      <c r="I309" s="905">
        <f t="shared" si="175"/>
        <v>342973</v>
      </c>
      <c r="J309" s="905">
        <f t="shared" si="175"/>
        <v>1481506</v>
      </c>
      <c r="K309" s="905">
        <f t="shared" si="175"/>
        <v>498233</v>
      </c>
      <c r="L309" s="905">
        <f t="shared" si="175"/>
        <v>0</v>
      </c>
      <c r="M309" s="905">
        <f t="shared" si="175"/>
        <v>0</v>
      </c>
      <c r="N309" s="906">
        <f t="shared" si="175"/>
        <v>0</v>
      </c>
    </row>
    <row r="310" spans="1:14" s="889" customFormat="1" ht="15" customHeight="1">
      <c r="A310" s="1285"/>
      <c r="B310" s="1286"/>
      <c r="C310" s="1054"/>
      <c r="D310" s="1054"/>
      <c r="E310" s="903"/>
      <c r="F310" s="904" t="s">
        <v>2599</v>
      </c>
      <c r="G310" s="905">
        <f t="shared" ref="G310:N310" si="176">SUM(G447:G449)</f>
        <v>0</v>
      </c>
      <c r="H310" s="905">
        <f t="shared" si="176"/>
        <v>0</v>
      </c>
      <c r="I310" s="905">
        <f t="shared" si="176"/>
        <v>0</v>
      </c>
      <c r="J310" s="905">
        <f t="shared" si="176"/>
        <v>0</v>
      </c>
      <c r="K310" s="905">
        <f t="shared" si="176"/>
        <v>0</v>
      </c>
      <c r="L310" s="905">
        <f t="shared" si="176"/>
        <v>0</v>
      </c>
      <c r="M310" s="905">
        <f t="shared" si="176"/>
        <v>0</v>
      </c>
      <c r="N310" s="906">
        <f t="shared" si="176"/>
        <v>0</v>
      </c>
    </row>
    <row r="311" spans="1:14" s="889" customFormat="1" ht="15" customHeight="1">
      <c r="A311" s="1285"/>
      <c r="B311" s="1286"/>
      <c r="C311" s="1054"/>
      <c r="D311" s="1054"/>
      <c r="E311" s="903"/>
      <c r="F311" s="1055" t="s">
        <v>2600</v>
      </c>
      <c r="G311" s="905">
        <f t="shared" ref="G311:N311" si="177">+G350</f>
        <v>0</v>
      </c>
      <c r="H311" s="905">
        <f t="shared" si="177"/>
        <v>0</v>
      </c>
      <c r="I311" s="905">
        <f t="shared" si="177"/>
        <v>0</v>
      </c>
      <c r="J311" s="905">
        <f t="shared" si="177"/>
        <v>0</v>
      </c>
      <c r="K311" s="905">
        <f t="shared" si="177"/>
        <v>0</v>
      </c>
      <c r="L311" s="905">
        <f t="shared" si="177"/>
        <v>0</v>
      </c>
      <c r="M311" s="905">
        <f t="shared" si="177"/>
        <v>0</v>
      </c>
      <c r="N311" s="906">
        <f t="shared" si="177"/>
        <v>0</v>
      </c>
    </row>
    <row r="312" spans="1:14" s="889" customFormat="1" ht="15" customHeight="1">
      <c r="A312" s="1285"/>
      <c r="B312" s="1286"/>
      <c r="C312" s="698" t="s">
        <v>2518</v>
      </c>
      <c r="D312" s="698"/>
      <c r="E312" s="903"/>
      <c r="F312" s="904">
        <f t="shared" ref="F312:F329" si="178">SUM(G312:N312)</f>
        <v>11493282</v>
      </c>
      <c r="G312" s="905">
        <f t="shared" ref="G312:N312" si="179">G313+G314</f>
        <v>4485960</v>
      </c>
      <c r="H312" s="905">
        <f t="shared" si="179"/>
        <v>756774</v>
      </c>
      <c r="I312" s="905">
        <f t="shared" si="179"/>
        <v>79009</v>
      </c>
      <c r="J312" s="905">
        <f t="shared" si="179"/>
        <v>5753106</v>
      </c>
      <c r="K312" s="905">
        <f t="shared" si="179"/>
        <v>418433</v>
      </c>
      <c r="L312" s="905">
        <f t="shared" si="179"/>
        <v>0</v>
      </c>
      <c r="M312" s="905">
        <f t="shared" si="179"/>
        <v>0</v>
      </c>
      <c r="N312" s="906">
        <f t="shared" si="179"/>
        <v>0</v>
      </c>
    </row>
    <row r="313" spans="1:14" s="889" customFormat="1" ht="15" customHeight="1">
      <c r="A313" s="1285"/>
      <c r="B313" s="1286"/>
      <c r="C313" s="907" t="s">
        <v>2519</v>
      </c>
      <c r="D313" s="698"/>
      <c r="E313" s="903"/>
      <c r="F313" s="904">
        <f t="shared" si="178"/>
        <v>5360758</v>
      </c>
      <c r="G313" s="905">
        <f>IF(G304="積上げ",0,G390)</f>
        <v>892592</v>
      </c>
      <c r="H313" s="905">
        <f t="shared" ref="H313:N313" si="180">IF(H304="積上げ",0,H390)</f>
        <v>618336</v>
      </c>
      <c r="I313" s="905">
        <f t="shared" si="180"/>
        <v>58706</v>
      </c>
      <c r="J313" s="905">
        <f t="shared" si="180"/>
        <v>3482684</v>
      </c>
      <c r="K313" s="905">
        <f t="shared" si="180"/>
        <v>308440</v>
      </c>
      <c r="L313" s="905">
        <f t="shared" si="180"/>
        <v>0</v>
      </c>
      <c r="M313" s="905">
        <f t="shared" si="180"/>
        <v>0</v>
      </c>
      <c r="N313" s="906">
        <f t="shared" si="180"/>
        <v>0</v>
      </c>
    </row>
    <row r="314" spans="1:14" s="889" customFormat="1" ht="15" customHeight="1">
      <c r="A314" s="1285"/>
      <c r="B314" s="1286"/>
      <c r="C314" s="907" t="s">
        <v>2525</v>
      </c>
      <c r="D314" s="698"/>
      <c r="E314" s="903"/>
      <c r="F314" s="904">
        <f t="shared" si="178"/>
        <v>6132524</v>
      </c>
      <c r="G314" s="1293">
        <f t="shared" ref="G314:N316" si="181">+G98+G22</f>
        <v>3593368</v>
      </c>
      <c r="H314" s="1293">
        <f t="shared" si="181"/>
        <v>138438</v>
      </c>
      <c r="I314" s="1293">
        <f t="shared" si="181"/>
        <v>20303</v>
      </c>
      <c r="J314" s="1293">
        <f t="shared" si="181"/>
        <v>2270422</v>
      </c>
      <c r="K314" s="1293">
        <f t="shared" si="181"/>
        <v>109993</v>
      </c>
      <c r="L314" s="1293">
        <f t="shared" si="181"/>
        <v>0</v>
      </c>
      <c r="M314" s="1293">
        <f t="shared" si="181"/>
        <v>0</v>
      </c>
      <c r="N314" s="1294">
        <f t="shared" si="181"/>
        <v>0</v>
      </c>
    </row>
    <row r="315" spans="1:14" s="889" customFormat="1" ht="15" customHeight="1">
      <c r="A315" s="1285"/>
      <c r="B315" s="1286"/>
      <c r="C315" s="915" t="s">
        <v>2709</v>
      </c>
      <c r="D315" s="698"/>
      <c r="E315" s="903"/>
      <c r="F315" s="904">
        <f t="shared" si="178"/>
        <v>0</v>
      </c>
      <c r="G315" s="905">
        <f t="shared" si="181"/>
        <v>0</v>
      </c>
      <c r="H315" s="905">
        <f t="shared" si="181"/>
        <v>0</v>
      </c>
      <c r="I315" s="905">
        <f t="shared" si="181"/>
        <v>0</v>
      </c>
      <c r="J315" s="905">
        <f t="shared" si="181"/>
        <v>0</v>
      </c>
      <c r="K315" s="905">
        <f t="shared" si="181"/>
        <v>0</v>
      </c>
      <c r="L315" s="905">
        <f t="shared" si="181"/>
        <v>0</v>
      </c>
      <c r="M315" s="905">
        <f t="shared" si="181"/>
        <v>0</v>
      </c>
      <c r="N315" s="906">
        <f t="shared" si="181"/>
        <v>0</v>
      </c>
    </row>
    <row r="316" spans="1:14" s="889" customFormat="1" ht="15" customHeight="1">
      <c r="A316" s="1285"/>
      <c r="B316" s="1286"/>
      <c r="C316" s="916" t="s">
        <v>2527</v>
      </c>
      <c r="D316" s="917"/>
      <c r="E316" s="918"/>
      <c r="F316" s="919">
        <f t="shared" si="178"/>
        <v>0</v>
      </c>
      <c r="G316" s="905">
        <f t="shared" si="181"/>
        <v>0</v>
      </c>
      <c r="H316" s="905">
        <f t="shared" si="181"/>
        <v>0</v>
      </c>
      <c r="I316" s="905">
        <f t="shared" si="181"/>
        <v>0</v>
      </c>
      <c r="J316" s="905">
        <f t="shared" si="181"/>
        <v>0</v>
      </c>
      <c r="K316" s="905">
        <f t="shared" si="181"/>
        <v>0</v>
      </c>
      <c r="L316" s="905">
        <f t="shared" si="181"/>
        <v>0</v>
      </c>
      <c r="M316" s="905">
        <f t="shared" si="181"/>
        <v>0</v>
      </c>
      <c r="N316" s="906">
        <f t="shared" si="181"/>
        <v>0</v>
      </c>
    </row>
    <row r="317" spans="1:14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178"/>
        <v>0</v>
      </c>
      <c r="G317" s="1064">
        <f t="shared" ref="G317:N317" si="182">+G351</f>
        <v>0</v>
      </c>
      <c r="H317" s="1064">
        <f t="shared" si="182"/>
        <v>0</v>
      </c>
      <c r="I317" s="1064">
        <f t="shared" si="182"/>
        <v>0</v>
      </c>
      <c r="J317" s="1064">
        <f t="shared" si="182"/>
        <v>0</v>
      </c>
      <c r="K317" s="1064">
        <f t="shared" si="182"/>
        <v>0</v>
      </c>
      <c r="L317" s="1064">
        <f t="shared" si="182"/>
        <v>0</v>
      </c>
      <c r="M317" s="1064">
        <f t="shared" si="182"/>
        <v>0</v>
      </c>
      <c r="N317" s="1065">
        <f t="shared" si="182"/>
        <v>0</v>
      </c>
    </row>
    <row r="318" spans="1:14" s="889" customFormat="1" ht="15" customHeight="1">
      <c r="A318" s="1285"/>
      <c r="B318" s="917" t="s">
        <v>2602</v>
      </c>
      <c r="C318" s="917"/>
      <c r="D318" s="917"/>
      <c r="E318" s="918"/>
      <c r="F318" s="919">
        <f t="shared" si="178"/>
        <v>47076446</v>
      </c>
      <c r="G318" s="1066">
        <f t="shared" ref="G318:N318" si="183">G319+G324</f>
        <v>8729924</v>
      </c>
      <c r="H318" s="1066">
        <f t="shared" si="183"/>
        <v>5366580</v>
      </c>
      <c r="I318" s="1066">
        <f t="shared" si="183"/>
        <v>518510</v>
      </c>
      <c r="J318" s="1066">
        <f t="shared" si="183"/>
        <v>29821678</v>
      </c>
      <c r="K318" s="1066">
        <f t="shared" si="183"/>
        <v>2639754</v>
      </c>
      <c r="L318" s="1066">
        <f t="shared" si="183"/>
        <v>0</v>
      </c>
      <c r="M318" s="1066">
        <f t="shared" si="183"/>
        <v>0</v>
      </c>
      <c r="N318" s="1067">
        <f t="shared" si="183"/>
        <v>0</v>
      </c>
    </row>
    <row r="319" spans="1:14" s="889" customFormat="1" ht="15" customHeight="1">
      <c r="A319" s="1285"/>
      <c r="B319" s="1286"/>
      <c r="C319" s="691" t="s">
        <v>2603</v>
      </c>
      <c r="D319" s="691"/>
      <c r="E319" s="875"/>
      <c r="F319" s="900">
        <f t="shared" si="178"/>
        <v>20819158</v>
      </c>
      <c r="G319" s="1068">
        <f t="shared" ref="G319:N319" si="184">G320+G323</f>
        <v>3728791</v>
      </c>
      <c r="H319" s="1068">
        <f t="shared" si="184"/>
        <v>2234619</v>
      </c>
      <c r="I319" s="1068">
        <f t="shared" si="184"/>
        <v>219123</v>
      </c>
      <c r="J319" s="1068">
        <f t="shared" si="184"/>
        <v>13462213</v>
      </c>
      <c r="K319" s="1068">
        <f t="shared" si="184"/>
        <v>1174412</v>
      </c>
      <c r="L319" s="1068">
        <f t="shared" si="184"/>
        <v>0</v>
      </c>
      <c r="M319" s="1068">
        <f t="shared" si="184"/>
        <v>0</v>
      </c>
      <c r="N319" s="1069">
        <f t="shared" si="184"/>
        <v>0</v>
      </c>
    </row>
    <row r="320" spans="1:14" s="889" customFormat="1" ht="15" customHeight="1">
      <c r="A320" s="1285"/>
      <c r="B320" s="1286"/>
      <c r="C320" s="1070" t="s">
        <v>2604</v>
      </c>
      <c r="D320" s="1070"/>
      <c r="E320" s="884"/>
      <c r="F320" s="904">
        <f t="shared" si="178"/>
        <v>20819158</v>
      </c>
      <c r="G320" s="1071">
        <f t="shared" ref="G320:N320" si="185">SUM(G321:G322)-G323</f>
        <v>3728791</v>
      </c>
      <c r="H320" s="1071">
        <f t="shared" si="185"/>
        <v>2234619</v>
      </c>
      <c r="I320" s="1071">
        <f t="shared" si="185"/>
        <v>219123</v>
      </c>
      <c r="J320" s="1071">
        <f t="shared" si="185"/>
        <v>13462213</v>
      </c>
      <c r="K320" s="1071">
        <f t="shared" si="185"/>
        <v>1174412</v>
      </c>
      <c r="L320" s="1071">
        <f t="shared" si="185"/>
        <v>0</v>
      </c>
      <c r="M320" s="1071">
        <f t="shared" si="185"/>
        <v>0</v>
      </c>
      <c r="N320" s="1072">
        <f t="shared" si="185"/>
        <v>0</v>
      </c>
    </row>
    <row r="321" spans="1:14" s="889" customFormat="1" ht="15" customHeight="1">
      <c r="A321" s="1285"/>
      <c r="B321" s="1286"/>
      <c r="C321" s="1073" t="s">
        <v>2605</v>
      </c>
      <c r="D321" s="1073"/>
      <c r="E321" s="903"/>
      <c r="F321" s="904">
        <f t="shared" si="178"/>
        <v>20684858</v>
      </c>
      <c r="G321" s="905">
        <f t="shared" ref="G321:N321" si="186">SUM(G416:G418)+G414</f>
        <v>3633235</v>
      </c>
      <c r="H321" s="905">
        <f t="shared" si="186"/>
        <v>2234619</v>
      </c>
      <c r="I321" s="905">
        <f t="shared" si="186"/>
        <v>212296</v>
      </c>
      <c r="J321" s="905">
        <f t="shared" si="186"/>
        <v>13440260</v>
      </c>
      <c r="K321" s="905">
        <f t="shared" si="186"/>
        <v>1164448</v>
      </c>
      <c r="L321" s="905">
        <f t="shared" si="186"/>
        <v>0</v>
      </c>
      <c r="M321" s="905">
        <f t="shared" si="186"/>
        <v>0</v>
      </c>
      <c r="N321" s="906">
        <f t="shared" si="186"/>
        <v>0</v>
      </c>
    </row>
    <row r="322" spans="1:14" s="889" customFormat="1" ht="15" customHeight="1">
      <c r="A322" s="1285"/>
      <c r="B322" s="1286"/>
      <c r="C322" s="1073" t="s">
        <v>2606</v>
      </c>
      <c r="D322" s="1073"/>
      <c r="E322" s="903"/>
      <c r="F322" s="904">
        <f t="shared" si="178"/>
        <v>134300</v>
      </c>
      <c r="G322" s="905">
        <f t="shared" ref="G322:N322" si="187">SUM(G419:G430)</f>
        <v>95556</v>
      </c>
      <c r="H322" s="905">
        <f t="shared" si="187"/>
        <v>0</v>
      </c>
      <c r="I322" s="905">
        <f t="shared" si="187"/>
        <v>6827</v>
      </c>
      <c r="J322" s="905">
        <f t="shared" si="187"/>
        <v>21953</v>
      </c>
      <c r="K322" s="905">
        <f t="shared" si="187"/>
        <v>9964</v>
      </c>
      <c r="L322" s="905">
        <f t="shared" si="187"/>
        <v>0</v>
      </c>
      <c r="M322" s="905">
        <f t="shared" si="187"/>
        <v>0</v>
      </c>
      <c r="N322" s="906">
        <f t="shared" si="187"/>
        <v>0</v>
      </c>
    </row>
    <row r="323" spans="1:14" s="889" customFormat="1" ht="15" customHeight="1">
      <c r="A323" s="1285"/>
      <c r="B323" s="1286"/>
      <c r="C323" s="1073" t="s">
        <v>2607</v>
      </c>
      <c r="D323" s="1073"/>
      <c r="E323" s="903"/>
      <c r="F323" s="904">
        <f t="shared" si="178"/>
        <v>0</v>
      </c>
      <c r="G323" s="905">
        <f t="shared" ref="G323:N323" si="188">+G428</f>
        <v>0</v>
      </c>
      <c r="H323" s="905">
        <f t="shared" si="188"/>
        <v>0</v>
      </c>
      <c r="I323" s="905">
        <f t="shared" si="188"/>
        <v>0</v>
      </c>
      <c r="J323" s="905">
        <f t="shared" si="188"/>
        <v>0</v>
      </c>
      <c r="K323" s="905">
        <f t="shared" si="188"/>
        <v>0</v>
      </c>
      <c r="L323" s="905">
        <f t="shared" si="188"/>
        <v>0</v>
      </c>
      <c r="M323" s="905">
        <f t="shared" si="188"/>
        <v>0</v>
      </c>
      <c r="N323" s="906">
        <f t="shared" si="188"/>
        <v>0</v>
      </c>
    </row>
    <row r="324" spans="1:14" s="889" customFormat="1" ht="15" customHeight="1">
      <c r="A324" s="1285"/>
      <c r="B324" s="1286"/>
      <c r="C324" s="698" t="s">
        <v>2608</v>
      </c>
      <c r="D324" s="698"/>
      <c r="E324" s="903"/>
      <c r="F324" s="904">
        <f t="shared" si="178"/>
        <v>26257288</v>
      </c>
      <c r="G324" s="905">
        <f>SUM(G325:G328)</f>
        <v>5001133</v>
      </c>
      <c r="H324" s="905">
        <f t="shared" ref="H324:N324" si="189">SUM(H325:H328)</f>
        <v>3131961</v>
      </c>
      <c r="I324" s="905">
        <f t="shared" si="189"/>
        <v>299387</v>
      </c>
      <c r="J324" s="905">
        <f t="shared" si="189"/>
        <v>16359465</v>
      </c>
      <c r="K324" s="905">
        <f t="shared" si="189"/>
        <v>1465342</v>
      </c>
      <c r="L324" s="905">
        <f t="shared" si="189"/>
        <v>0</v>
      </c>
      <c r="M324" s="905">
        <f t="shared" si="189"/>
        <v>0</v>
      </c>
      <c r="N324" s="906">
        <f t="shared" si="189"/>
        <v>0</v>
      </c>
    </row>
    <row r="325" spans="1:14" s="889" customFormat="1" ht="15" customHeight="1">
      <c r="A325" s="1285"/>
      <c r="B325" s="1286"/>
      <c r="C325" s="1073" t="s">
        <v>2605</v>
      </c>
      <c r="D325" s="1073"/>
      <c r="E325" s="903"/>
      <c r="F325" s="1074">
        <f t="shared" si="178"/>
        <v>24928191</v>
      </c>
      <c r="G325" s="905">
        <f>IF(G452=0,0,+G452-G469)</f>
        <v>4747967</v>
      </c>
      <c r="H325" s="905">
        <f t="shared" ref="H325:N325" si="190">IF(H452=0,0,+H452-H469)</f>
        <v>2973387</v>
      </c>
      <c r="I325" s="905">
        <f t="shared" si="190"/>
        <v>284202</v>
      </c>
      <c r="J325" s="905">
        <f t="shared" si="190"/>
        <v>15531471</v>
      </c>
      <c r="K325" s="905">
        <f t="shared" si="190"/>
        <v>1391164</v>
      </c>
      <c r="L325" s="905">
        <f t="shared" si="190"/>
        <v>0</v>
      </c>
      <c r="M325" s="905">
        <f t="shared" si="190"/>
        <v>0</v>
      </c>
      <c r="N325" s="906">
        <f t="shared" si="190"/>
        <v>0</v>
      </c>
    </row>
    <row r="326" spans="1:14" s="889" customFormat="1" ht="15" customHeight="1">
      <c r="A326" s="1285"/>
      <c r="B326" s="1286"/>
      <c r="C326" s="1073" t="s">
        <v>2609</v>
      </c>
      <c r="D326" s="1073"/>
      <c r="E326" s="903"/>
      <c r="F326" s="904">
        <f t="shared" si="178"/>
        <v>1329097</v>
      </c>
      <c r="G326" s="905">
        <f t="shared" ref="G326:N326" si="191">+G453+G454</f>
        <v>253166</v>
      </c>
      <c r="H326" s="905">
        <f t="shared" si="191"/>
        <v>158574</v>
      </c>
      <c r="I326" s="905">
        <f t="shared" si="191"/>
        <v>15185</v>
      </c>
      <c r="J326" s="905">
        <f t="shared" si="191"/>
        <v>827994</v>
      </c>
      <c r="K326" s="905">
        <f t="shared" si="191"/>
        <v>74178</v>
      </c>
      <c r="L326" s="905">
        <f t="shared" si="191"/>
        <v>0</v>
      </c>
      <c r="M326" s="905">
        <f t="shared" si="191"/>
        <v>0</v>
      </c>
      <c r="N326" s="906">
        <f t="shared" si="191"/>
        <v>0</v>
      </c>
    </row>
    <row r="327" spans="1:14" s="889" customFormat="1" ht="15" customHeight="1">
      <c r="A327" s="1285"/>
      <c r="B327" s="1286"/>
      <c r="C327" s="1073" t="s">
        <v>2610</v>
      </c>
      <c r="D327" s="1073"/>
      <c r="E327" s="903"/>
      <c r="F327" s="904">
        <f t="shared" si="178"/>
        <v>0</v>
      </c>
      <c r="G327" s="905">
        <f t="shared" ref="G327:N327" si="192">SUM(G455:G459)</f>
        <v>0</v>
      </c>
      <c r="H327" s="905">
        <f t="shared" si="192"/>
        <v>0</v>
      </c>
      <c r="I327" s="905">
        <f t="shared" si="192"/>
        <v>0</v>
      </c>
      <c r="J327" s="905">
        <f t="shared" si="192"/>
        <v>0</v>
      </c>
      <c r="K327" s="905">
        <f t="shared" si="192"/>
        <v>0</v>
      </c>
      <c r="L327" s="905">
        <f t="shared" si="192"/>
        <v>0</v>
      </c>
      <c r="M327" s="905">
        <f t="shared" si="192"/>
        <v>0</v>
      </c>
      <c r="N327" s="906">
        <f t="shared" si="192"/>
        <v>0</v>
      </c>
    </row>
    <row r="328" spans="1:14" s="889" customFormat="1" ht="15" customHeight="1">
      <c r="A328" s="1285"/>
      <c r="B328" s="1286"/>
      <c r="C328" s="917" t="s">
        <v>2611</v>
      </c>
      <c r="D328" s="1286"/>
      <c r="E328" s="918"/>
      <c r="F328" s="919">
        <f t="shared" si="178"/>
        <v>0</v>
      </c>
      <c r="G328" s="1066">
        <f>IF(G460=0,0,+G460-G469)</f>
        <v>0</v>
      </c>
      <c r="H328" s="1066">
        <f t="shared" ref="H328:N328" si="193">IF(H460=0,0,+H460-H469)</f>
        <v>0</v>
      </c>
      <c r="I328" s="1066">
        <f t="shared" si="193"/>
        <v>0</v>
      </c>
      <c r="J328" s="1066">
        <f t="shared" si="193"/>
        <v>0</v>
      </c>
      <c r="K328" s="1066">
        <f t="shared" si="193"/>
        <v>0</v>
      </c>
      <c r="L328" s="1066">
        <f t="shared" si="193"/>
        <v>0</v>
      </c>
      <c r="M328" s="1066">
        <f t="shared" si="193"/>
        <v>0</v>
      </c>
      <c r="N328" s="1067">
        <f t="shared" si="193"/>
        <v>0</v>
      </c>
    </row>
    <row r="329" spans="1:14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178"/>
        <v>232000000</v>
      </c>
      <c r="G329" s="898">
        <f t="shared" ref="G329:N329" si="194">G307+G318</f>
        <v>44191000</v>
      </c>
      <c r="H329" s="898">
        <f t="shared" si="194"/>
        <v>27679000</v>
      </c>
      <c r="I329" s="898">
        <f t="shared" si="194"/>
        <v>2650000</v>
      </c>
      <c r="J329" s="898">
        <f t="shared" si="194"/>
        <v>144532000</v>
      </c>
      <c r="K329" s="898">
        <f t="shared" si="194"/>
        <v>12948000</v>
      </c>
      <c r="L329" s="898">
        <f t="shared" si="194"/>
        <v>0</v>
      </c>
      <c r="M329" s="898">
        <f t="shared" si="194"/>
        <v>0</v>
      </c>
      <c r="N329" s="899">
        <f t="shared" si="194"/>
        <v>0</v>
      </c>
    </row>
    <row r="330" spans="1:14" s="889" customFormat="1" ht="15" customHeight="1">
      <c r="A330" s="1077"/>
      <c r="B330" s="1286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</row>
    <row r="331" spans="1:14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工事1</v>
      </c>
      <c r="H331" s="1084" t="str">
        <f t="shared" ref="H331:N331" si="195">+H302</f>
        <v>工事2</v>
      </c>
      <c r="I331" s="1084" t="str">
        <f t="shared" si="195"/>
        <v>工事3</v>
      </c>
      <c r="J331" s="1084" t="str">
        <f t="shared" si="195"/>
        <v>工事4</v>
      </c>
      <c r="K331" s="1084" t="str">
        <f t="shared" si="195"/>
        <v>工事5</v>
      </c>
      <c r="L331" s="1084">
        <f t="shared" si="195"/>
        <v>0</v>
      </c>
      <c r="M331" s="1084">
        <f t="shared" si="195"/>
        <v>0</v>
      </c>
      <c r="N331" s="1085">
        <f t="shared" si="195"/>
        <v>0</v>
      </c>
    </row>
    <row r="332" spans="1:14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8"/>
    </row>
    <row r="333" spans="1:14" s="889" customFormat="1" ht="15" customHeight="1">
      <c r="A333" s="2793"/>
      <c r="B333" s="2755" t="s">
        <v>2529</v>
      </c>
      <c r="C333" s="692" t="s">
        <v>2530</v>
      </c>
      <c r="D333" s="692"/>
      <c r="E333" s="875"/>
      <c r="F333" s="900">
        <f t="shared" ref="F333:F339" si="196">SUM(G333:N333)</f>
        <v>0</v>
      </c>
      <c r="G333" s="1068">
        <f t="shared" ref="G333:N348" si="197">+G117+G26</f>
        <v>0</v>
      </c>
      <c r="H333" s="1068">
        <f t="shared" si="197"/>
        <v>0</v>
      </c>
      <c r="I333" s="1068">
        <f t="shared" si="197"/>
        <v>0</v>
      </c>
      <c r="J333" s="1068">
        <f t="shared" si="197"/>
        <v>0</v>
      </c>
      <c r="K333" s="1068">
        <f t="shared" si="197"/>
        <v>0</v>
      </c>
      <c r="L333" s="1068">
        <f t="shared" si="197"/>
        <v>0</v>
      </c>
      <c r="M333" s="1068">
        <f t="shared" si="197"/>
        <v>0</v>
      </c>
      <c r="N333" s="1069">
        <f t="shared" si="197"/>
        <v>0</v>
      </c>
    </row>
    <row r="334" spans="1:14" s="889" customFormat="1" ht="15" customHeight="1">
      <c r="A334" s="2753"/>
      <c r="B334" s="2756"/>
      <c r="C334" s="699" t="s">
        <v>2531</v>
      </c>
      <c r="D334" s="699"/>
      <c r="E334" s="903"/>
      <c r="F334" s="904">
        <f t="shared" si="196"/>
        <v>166310690</v>
      </c>
      <c r="G334" s="905">
        <f t="shared" si="197"/>
        <v>26169897</v>
      </c>
      <c r="H334" s="905">
        <f t="shared" si="197"/>
        <v>21544814</v>
      </c>
      <c r="I334" s="905">
        <f t="shared" si="197"/>
        <v>1712888</v>
      </c>
      <c r="J334" s="905">
        <f t="shared" si="197"/>
        <v>107486578</v>
      </c>
      <c r="K334" s="905">
        <f t="shared" si="197"/>
        <v>9396513</v>
      </c>
      <c r="L334" s="905">
        <f t="shared" si="197"/>
        <v>0</v>
      </c>
      <c r="M334" s="905">
        <f t="shared" si="197"/>
        <v>0</v>
      </c>
      <c r="N334" s="906">
        <f t="shared" si="197"/>
        <v>0</v>
      </c>
    </row>
    <row r="335" spans="1:14" s="889" customFormat="1" ht="15" customHeight="1">
      <c r="A335" s="2753"/>
      <c r="B335" s="2756"/>
      <c r="C335" s="929" t="s">
        <v>2532</v>
      </c>
      <c r="D335" s="699"/>
      <c r="E335" s="903"/>
      <c r="F335" s="904">
        <f t="shared" si="196"/>
        <v>0</v>
      </c>
      <c r="G335" s="905">
        <f t="shared" si="197"/>
        <v>0</v>
      </c>
      <c r="H335" s="905">
        <f t="shared" si="197"/>
        <v>0</v>
      </c>
      <c r="I335" s="905">
        <f t="shared" si="197"/>
        <v>0</v>
      </c>
      <c r="J335" s="905">
        <f t="shared" si="197"/>
        <v>0</v>
      </c>
      <c r="K335" s="905">
        <f t="shared" si="197"/>
        <v>0</v>
      </c>
      <c r="L335" s="905">
        <f t="shared" si="197"/>
        <v>0</v>
      </c>
      <c r="M335" s="905">
        <f t="shared" si="197"/>
        <v>0</v>
      </c>
      <c r="N335" s="906">
        <f t="shared" si="197"/>
        <v>0</v>
      </c>
    </row>
    <row r="336" spans="1:14" s="889" customFormat="1" ht="15" customHeight="1">
      <c r="A336" s="2753"/>
      <c r="B336" s="2757"/>
      <c r="C336" s="929" t="s">
        <v>2533</v>
      </c>
      <c r="D336" s="699"/>
      <c r="E336" s="903"/>
      <c r="F336" s="904">
        <f t="shared" si="196"/>
        <v>0</v>
      </c>
      <c r="G336" s="905">
        <f t="shared" si="197"/>
        <v>0</v>
      </c>
      <c r="H336" s="905">
        <f t="shared" si="197"/>
        <v>0</v>
      </c>
      <c r="I336" s="905">
        <f t="shared" si="197"/>
        <v>0</v>
      </c>
      <c r="J336" s="905">
        <f t="shared" si="197"/>
        <v>0</v>
      </c>
      <c r="K336" s="905">
        <f t="shared" si="197"/>
        <v>0</v>
      </c>
      <c r="L336" s="905">
        <f t="shared" si="197"/>
        <v>0</v>
      </c>
      <c r="M336" s="905">
        <f t="shared" si="197"/>
        <v>0</v>
      </c>
      <c r="N336" s="906">
        <f t="shared" si="197"/>
        <v>0</v>
      </c>
    </row>
    <row r="337" spans="1:14" s="889" customFormat="1" ht="15" customHeight="1">
      <c r="A337" s="2753"/>
      <c r="B337" s="2758" t="s">
        <v>2534</v>
      </c>
      <c r="C337" s="698" t="s">
        <v>2616</v>
      </c>
      <c r="D337" s="699"/>
      <c r="E337" s="903"/>
      <c r="F337" s="904">
        <f t="shared" si="196"/>
        <v>0</v>
      </c>
      <c r="G337" s="1293">
        <f t="shared" si="197"/>
        <v>0</v>
      </c>
      <c r="H337" s="1293">
        <f t="shared" si="197"/>
        <v>0</v>
      </c>
      <c r="I337" s="1293">
        <f t="shared" si="197"/>
        <v>0</v>
      </c>
      <c r="J337" s="1293">
        <f t="shared" si="197"/>
        <v>0</v>
      </c>
      <c r="K337" s="1293">
        <f t="shared" si="197"/>
        <v>0</v>
      </c>
      <c r="L337" s="1293">
        <f t="shared" si="197"/>
        <v>0</v>
      </c>
      <c r="M337" s="1293">
        <f t="shared" si="197"/>
        <v>0</v>
      </c>
      <c r="N337" s="1294">
        <f t="shared" si="197"/>
        <v>0</v>
      </c>
    </row>
    <row r="338" spans="1:14" s="889" customFormat="1" ht="13.5" customHeight="1">
      <c r="A338" s="2753"/>
      <c r="B338" s="2756"/>
      <c r="C338" s="698" t="s">
        <v>2536</v>
      </c>
      <c r="D338" s="699"/>
      <c r="E338" s="903"/>
      <c r="F338" s="904">
        <f t="shared" si="196"/>
        <v>0</v>
      </c>
      <c r="G338" s="1293">
        <f t="shared" si="197"/>
        <v>0</v>
      </c>
      <c r="H338" s="1293">
        <f t="shared" si="197"/>
        <v>0</v>
      </c>
      <c r="I338" s="1293">
        <f t="shared" si="197"/>
        <v>0</v>
      </c>
      <c r="J338" s="1293">
        <f t="shared" si="197"/>
        <v>0</v>
      </c>
      <c r="K338" s="1293">
        <f t="shared" si="197"/>
        <v>0</v>
      </c>
      <c r="L338" s="1293">
        <f t="shared" si="197"/>
        <v>0</v>
      </c>
      <c r="M338" s="1293">
        <f t="shared" si="197"/>
        <v>0</v>
      </c>
      <c r="N338" s="1294">
        <f t="shared" si="197"/>
        <v>0</v>
      </c>
    </row>
    <row r="339" spans="1:14" s="889" customFormat="1" ht="13.5" customHeight="1">
      <c r="A339" s="2753"/>
      <c r="B339" s="2756"/>
      <c r="C339" s="699" t="s">
        <v>2537</v>
      </c>
      <c r="D339" s="699"/>
      <c r="E339" s="903"/>
      <c r="F339" s="904">
        <f t="shared" si="196"/>
        <v>6648600</v>
      </c>
      <c r="G339" s="1293">
        <f t="shared" si="197"/>
        <v>4730500</v>
      </c>
      <c r="H339" s="1293">
        <f t="shared" si="197"/>
        <v>0</v>
      </c>
      <c r="I339" s="1293">
        <f t="shared" si="197"/>
        <v>338000</v>
      </c>
      <c r="J339" s="1293">
        <f t="shared" si="197"/>
        <v>1086800</v>
      </c>
      <c r="K339" s="1293">
        <f t="shared" si="197"/>
        <v>493300</v>
      </c>
      <c r="L339" s="1293">
        <f t="shared" si="197"/>
        <v>0</v>
      </c>
      <c r="M339" s="1293">
        <f t="shared" si="197"/>
        <v>0</v>
      </c>
      <c r="N339" s="1294">
        <f t="shared" si="197"/>
        <v>0</v>
      </c>
    </row>
    <row r="340" spans="1:14" s="889" customFormat="1" ht="13.5" customHeight="1">
      <c r="A340" s="2753"/>
      <c r="B340" s="2756"/>
      <c r="C340" s="699" t="s">
        <v>2617</v>
      </c>
      <c r="D340" s="699"/>
      <c r="E340" s="903"/>
      <c r="F340" s="904"/>
      <c r="G340" s="905">
        <f t="shared" si="197"/>
        <v>0</v>
      </c>
      <c r="H340" s="905">
        <f t="shared" si="197"/>
        <v>0</v>
      </c>
      <c r="I340" s="905">
        <f t="shared" si="197"/>
        <v>0</v>
      </c>
      <c r="J340" s="905">
        <f t="shared" si="197"/>
        <v>0</v>
      </c>
      <c r="K340" s="905">
        <f t="shared" si="197"/>
        <v>0</v>
      </c>
      <c r="L340" s="905">
        <f t="shared" si="197"/>
        <v>0</v>
      </c>
      <c r="M340" s="905">
        <f t="shared" si="197"/>
        <v>0</v>
      </c>
      <c r="N340" s="906">
        <f t="shared" si="197"/>
        <v>0</v>
      </c>
    </row>
    <row r="341" spans="1:14" s="889" customFormat="1" ht="13.5" customHeight="1">
      <c r="A341" s="2753"/>
      <c r="B341" s="2756"/>
      <c r="C341" s="699" t="s">
        <v>2539</v>
      </c>
      <c r="D341" s="699"/>
      <c r="E341" s="903"/>
      <c r="F341" s="904"/>
      <c r="G341" s="905">
        <f t="shared" si="197"/>
        <v>0</v>
      </c>
      <c r="H341" s="905">
        <f t="shared" si="197"/>
        <v>0</v>
      </c>
      <c r="I341" s="905">
        <f t="shared" si="197"/>
        <v>0</v>
      </c>
      <c r="J341" s="905">
        <f t="shared" si="197"/>
        <v>0</v>
      </c>
      <c r="K341" s="905">
        <f t="shared" si="197"/>
        <v>0</v>
      </c>
      <c r="L341" s="905">
        <f t="shared" si="197"/>
        <v>0</v>
      </c>
      <c r="M341" s="905">
        <f t="shared" si="197"/>
        <v>0</v>
      </c>
      <c r="N341" s="906">
        <f t="shared" si="197"/>
        <v>0</v>
      </c>
    </row>
    <row r="342" spans="1:14" s="889" customFormat="1" ht="13.5" customHeight="1">
      <c r="A342" s="2753"/>
      <c r="B342" s="2756"/>
      <c r="C342" s="699" t="s">
        <v>2540</v>
      </c>
      <c r="D342" s="699"/>
      <c r="E342" s="903"/>
      <c r="F342" s="904">
        <f t="shared" ref="F342:F352" si="198">SUM(G342:N342)</f>
        <v>0</v>
      </c>
      <c r="G342" s="1293">
        <f t="shared" si="197"/>
        <v>0</v>
      </c>
      <c r="H342" s="1293">
        <f t="shared" si="197"/>
        <v>0</v>
      </c>
      <c r="I342" s="1293">
        <f t="shared" si="197"/>
        <v>0</v>
      </c>
      <c r="J342" s="1293">
        <f t="shared" si="197"/>
        <v>0</v>
      </c>
      <c r="K342" s="1293">
        <f t="shared" si="197"/>
        <v>0</v>
      </c>
      <c r="L342" s="1293">
        <f t="shared" si="197"/>
        <v>0</v>
      </c>
      <c r="M342" s="1293">
        <f t="shared" si="197"/>
        <v>0</v>
      </c>
      <c r="N342" s="1294">
        <f t="shared" si="197"/>
        <v>0</v>
      </c>
    </row>
    <row r="343" spans="1:14" s="889" customFormat="1" ht="13.5" customHeight="1">
      <c r="A343" s="2753"/>
      <c r="B343" s="2756"/>
      <c r="C343" s="930" t="s">
        <v>2541</v>
      </c>
      <c r="D343" s="699"/>
      <c r="E343" s="903"/>
      <c r="F343" s="904">
        <f t="shared" si="198"/>
        <v>0</v>
      </c>
      <c r="G343" s="905">
        <f t="shared" si="197"/>
        <v>0</v>
      </c>
      <c r="H343" s="905">
        <f t="shared" si="197"/>
        <v>0</v>
      </c>
      <c r="I343" s="905">
        <f t="shared" si="197"/>
        <v>0</v>
      </c>
      <c r="J343" s="905">
        <f t="shared" si="197"/>
        <v>0</v>
      </c>
      <c r="K343" s="905">
        <f t="shared" si="197"/>
        <v>0</v>
      </c>
      <c r="L343" s="905">
        <f t="shared" si="197"/>
        <v>0</v>
      </c>
      <c r="M343" s="905">
        <f t="shared" si="197"/>
        <v>0</v>
      </c>
      <c r="N343" s="906">
        <f t="shared" si="197"/>
        <v>0</v>
      </c>
    </row>
    <row r="344" spans="1:14" s="889" customFormat="1" ht="13.5" customHeight="1">
      <c r="A344" s="2753"/>
      <c r="B344" s="2756"/>
      <c r="C344" s="931" t="s">
        <v>2619</v>
      </c>
      <c r="D344" s="699"/>
      <c r="E344" s="903"/>
      <c r="F344" s="904">
        <f t="shared" si="198"/>
        <v>0</v>
      </c>
      <c r="G344" s="905">
        <f t="shared" si="197"/>
        <v>0</v>
      </c>
      <c r="H344" s="905">
        <f t="shared" si="197"/>
        <v>0</v>
      </c>
      <c r="I344" s="905">
        <f t="shared" si="197"/>
        <v>0</v>
      </c>
      <c r="J344" s="905">
        <f t="shared" si="197"/>
        <v>0</v>
      </c>
      <c r="K344" s="905">
        <f t="shared" si="197"/>
        <v>0</v>
      </c>
      <c r="L344" s="905">
        <f t="shared" si="197"/>
        <v>0</v>
      </c>
      <c r="M344" s="905">
        <f t="shared" si="197"/>
        <v>0</v>
      </c>
      <c r="N344" s="906">
        <f t="shared" si="197"/>
        <v>0</v>
      </c>
    </row>
    <row r="345" spans="1:14" s="889" customFormat="1" ht="13.5" customHeight="1">
      <c r="A345" s="2753"/>
      <c r="B345" s="2757"/>
      <c r="C345" s="699" t="s">
        <v>2543</v>
      </c>
      <c r="D345" s="699"/>
      <c r="E345" s="903"/>
      <c r="F345" s="904">
        <f t="shared" si="198"/>
        <v>0</v>
      </c>
      <c r="G345" s="1293">
        <f t="shared" si="197"/>
        <v>0</v>
      </c>
      <c r="H345" s="1293">
        <f t="shared" si="197"/>
        <v>0</v>
      </c>
      <c r="I345" s="1293">
        <f t="shared" si="197"/>
        <v>0</v>
      </c>
      <c r="J345" s="1293">
        <f t="shared" si="197"/>
        <v>0</v>
      </c>
      <c r="K345" s="1293">
        <f t="shared" si="197"/>
        <v>0</v>
      </c>
      <c r="L345" s="1293">
        <f t="shared" si="197"/>
        <v>0</v>
      </c>
      <c r="M345" s="1293">
        <f t="shared" si="197"/>
        <v>0</v>
      </c>
      <c r="N345" s="1294">
        <f t="shared" si="197"/>
        <v>0</v>
      </c>
    </row>
    <row r="346" spans="1:14" s="889" customFormat="1" ht="13.5" customHeight="1">
      <c r="A346" s="2753"/>
      <c r="B346" s="2758" t="s">
        <v>2544</v>
      </c>
      <c r="C346" s="929" t="s">
        <v>2545</v>
      </c>
      <c r="D346" s="699"/>
      <c r="E346" s="903"/>
      <c r="F346" s="904">
        <f t="shared" si="198"/>
        <v>470982</v>
      </c>
      <c r="G346" s="1293">
        <f t="shared" si="197"/>
        <v>74719</v>
      </c>
      <c r="H346" s="1293">
        <f t="shared" si="197"/>
        <v>10832</v>
      </c>
      <c r="I346" s="1293">
        <f t="shared" si="197"/>
        <v>1593</v>
      </c>
      <c r="J346" s="1293">
        <f t="shared" si="197"/>
        <v>383838</v>
      </c>
      <c r="K346" s="1293">
        <f t="shared" si="197"/>
        <v>0</v>
      </c>
      <c r="L346" s="1293">
        <f t="shared" si="197"/>
        <v>0</v>
      </c>
      <c r="M346" s="1293">
        <f t="shared" si="197"/>
        <v>0</v>
      </c>
      <c r="N346" s="1294">
        <f t="shared" si="197"/>
        <v>0</v>
      </c>
    </row>
    <row r="347" spans="1:14" s="889" customFormat="1" ht="13.5" customHeight="1">
      <c r="A347" s="2753"/>
      <c r="B347" s="2756"/>
      <c r="C347" s="929" t="s">
        <v>2546</v>
      </c>
      <c r="D347" s="699"/>
      <c r="E347" s="903"/>
      <c r="F347" s="904">
        <f t="shared" si="198"/>
        <v>0</v>
      </c>
      <c r="G347" s="905">
        <f t="shared" si="197"/>
        <v>0</v>
      </c>
      <c r="H347" s="905">
        <f t="shared" si="197"/>
        <v>0</v>
      </c>
      <c r="I347" s="905">
        <f t="shared" si="197"/>
        <v>0</v>
      </c>
      <c r="J347" s="905">
        <f t="shared" si="197"/>
        <v>0</v>
      </c>
      <c r="K347" s="905">
        <f t="shared" si="197"/>
        <v>0</v>
      </c>
      <c r="L347" s="905">
        <f t="shared" si="197"/>
        <v>0</v>
      </c>
      <c r="M347" s="905">
        <f t="shared" si="197"/>
        <v>0</v>
      </c>
      <c r="N347" s="906">
        <f t="shared" si="197"/>
        <v>0</v>
      </c>
    </row>
    <row r="348" spans="1:14" s="889" customFormat="1" ht="13.5" customHeight="1">
      <c r="A348" s="2753"/>
      <c r="B348" s="2756"/>
      <c r="C348" s="699" t="s">
        <v>2547</v>
      </c>
      <c r="D348" s="699"/>
      <c r="E348" s="903"/>
      <c r="F348" s="904">
        <f t="shared" si="198"/>
        <v>0</v>
      </c>
      <c r="G348" s="905">
        <f t="shared" si="197"/>
        <v>0</v>
      </c>
      <c r="H348" s="905">
        <f t="shared" si="197"/>
        <v>0</v>
      </c>
      <c r="I348" s="905">
        <f t="shared" si="197"/>
        <v>0</v>
      </c>
      <c r="J348" s="905">
        <f t="shared" si="197"/>
        <v>0</v>
      </c>
      <c r="K348" s="905">
        <f t="shared" si="197"/>
        <v>0</v>
      </c>
      <c r="L348" s="905">
        <f t="shared" si="197"/>
        <v>0</v>
      </c>
      <c r="M348" s="905">
        <f t="shared" si="197"/>
        <v>0</v>
      </c>
      <c r="N348" s="906">
        <f t="shared" si="197"/>
        <v>0</v>
      </c>
    </row>
    <row r="349" spans="1:14" s="889" customFormat="1" ht="13.5" customHeight="1">
      <c r="A349" s="2753"/>
      <c r="B349" s="2756"/>
      <c r="C349" s="699" t="s">
        <v>2710</v>
      </c>
      <c r="D349" s="699"/>
      <c r="E349" s="903"/>
      <c r="F349" s="904">
        <f t="shared" si="198"/>
        <v>0</v>
      </c>
      <c r="G349" s="1293">
        <f t="shared" ref="G349:N352" si="199">+G133+G42</f>
        <v>0</v>
      </c>
      <c r="H349" s="1293">
        <f t="shared" si="199"/>
        <v>0</v>
      </c>
      <c r="I349" s="1293">
        <f t="shared" si="199"/>
        <v>0</v>
      </c>
      <c r="J349" s="1293">
        <f t="shared" si="199"/>
        <v>0</v>
      </c>
      <c r="K349" s="1293">
        <f t="shared" si="199"/>
        <v>0</v>
      </c>
      <c r="L349" s="1293">
        <f t="shared" si="199"/>
        <v>0</v>
      </c>
      <c r="M349" s="1293">
        <f t="shared" si="199"/>
        <v>0</v>
      </c>
      <c r="N349" s="1294">
        <f t="shared" si="199"/>
        <v>0</v>
      </c>
    </row>
    <row r="350" spans="1:14" s="889" customFormat="1" ht="13.5" customHeight="1">
      <c r="A350" s="2753"/>
      <c r="B350" s="2756"/>
      <c r="C350" s="933" t="s">
        <v>2549</v>
      </c>
      <c r="D350" s="933"/>
      <c r="E350" s="934"/>
      <c r="F350" s="904">
        <f t="shared" si="198"/>
        <v>0</v>
      </c>
      <c r="G350" s="1293">
        <f t="shared" si="199"/>
        <v>0</v>
      </c>
      <c r="H350" s="1293">
        <f t="shared" si="199"/>
        <v>0</v>
      </c>
      <c r="I350" s="1293">
        <f t="shared" si="199"/>
        <v>0</v>
      </c>
      <c r="J350" s="1293">
        <f t="shared" si="199"/>
        <v>0</v>
      </c>
      <c r="K350" s="1293">
        <f t="shared" si="199"/>
        <v>0</v>
      </c>
      <c r="L350" s="1293">
        <f t="shared" si="199"/>
        <v>0</v>
      </c>
      <c r="M350" s="1293">
        <f t="shared" si="199"/>
        <v>0</v>
      </c>
      <c r="N350" s="1294">
        <f t="shared" si="199"/>
        <v>0</v>
      </c>
    </row>
    <row r="351" spans="1:14" s="889" customFormat="1" ht="13.5" customHeight="1">
      <c r="A351" s="2753"/>
      <c r="B351" s="2756"/>
      <c r="C351" s="933" t="s">
        <v>2550</v>
      </c>
      <c r="D351" s="933"/>
      <c r="E351" s="934"/>
      <c r="F351" s="904">
        <f t="shared" si="198"/>
        <v>0</v>
      </c>
      <c r="G351" s="1293">
        <f t="shared" si="199"/>
        <v>0</v>
      </c>
      <c r="H351" s="1293">
        <f t="shared" si="199"/>
        <v>0</v>
      </c>
      <c r="I351" s="1293">
        <f t="shared" si="199"/>
        <v>0</v>
      </c>
      <c r="J351" s="1293">
        <f t="shared" si="199"/>
        <v>0</v>
      </c>
      <c r="K351" s="1293">
        <f t="shared" si="199"/>
        <v>0</v>
      </c>
      <c r="L351" s="1293">
        <f t="shared" si="199"/>
        <v>0</v>
      </c>
      <c r="M351" s="1293">
        <f t="shared" si="199"/>
        <v>0</v>
      </c>
      <c r="N351" s="1294">
        <f t="shared" si="199"/>
        <v>0</v>
      </c>
    </row>
    <row r="352" spans="1:14" s="889" customFormat="1" ht="13.5" customHeight="1">
      <c r="A352" s="2754"/>
      <c r="B352" s="2759"/>
      <c r="C352" s="937" t="s">
        <v>2551</v>
      </c>
      <c r="D352" s="937"/>
      <c r="E352" s="938"/>
      <c r="F352" s="939">
        <f t="shared" si="198"/>
        <v>0</v>
      </c>
      <c r="G352" s="1299">
        <f t="shared" si="199"/>
        <v>0</v>
      </c>
      <c r="H352" s="1299">
        <f t="shared" si="199"/>
        <v>0</v>
      </c>
      <c r="I352" s="1299">
        <f t="shared" si="199"/>
        <v>0</v>
      </c>
      <c r="J352" s="1299">
        <f t="shared" si="199"/>
        <v>0</v>
      </c>
      <c r="K352" s="1299">
        <f t="shared" si="199"/>
        <v>0</v>
      </c>
      <c r="L352" s="1299">
        <f t="shared" si="199"/>
        <v>0</v>
      </c>
      <c r="M352" s="1299">
        <f t="shared" si="199"/>
        <v>0</v>
      </c>
      <c r="N352" s="1300">
        <f t="shared" si="199"/>
        <v>0</v>
      </c>
    </row>
    <row r="353" spans="1:14" s="889" customFormat="1" ht="13.5" customHeight="1">
      <c r="A353" s="1286"/>
      <c r="B353" s="1286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2711</v>
      </c>
    </row>
    <row r="354" spans="1:14" s="889" customFormat="1" ht="13.5" customHeight="1">
      <c r="A354" s="1286"/>
      <c r="B354" s="1286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9" customFormat="1" ht="13.5" customHeight="1">
      <c r="A355" s="870"/>
      <c r="B355" s="871"/>
      <c r="C355" s="871"/>
      <c r="D355" s="2767" t="s">
        <v>2623</v>
      </c>
      <c r="E355" s="2767" t="s">
        <v>2624</v>
      </c>
      <c r="F355" s="1083" t="s">
        <v>2505</v>
      </c>
      <c r="G355" s="1295" t="str">
        <f>+G302</f>
        <v>工事1</v>
      </c>
      <c r="H355" s="1084" t="str">
        <f t="shared" ref="H355:N355" si="200">+H302</f>
        <v>工事2</v>
      </c>
      <c r="I355" s="1084" t="str">
        <f t="shared" si="200"/>
        <v>工事3</v>
      </c>
      <c r="J355" s="1084" t="str">
        <f t="shared" si="200"/>
        <v>工事4</v>
      </c>
      <c r="K355" s="1084" t="str">
        <f t="shared" si="200"/>
        <v>工事5</v>
      </c>
      <c r="L355" s="1084">
        <f t="shared" si="200"/>
        <v>0</v>
      </c>
      <c r="M355" s="1084">
        <f t="shared" si="200"/>
        <v>0</v>
      </c>
      <c r="N355" s="1085">
        <f t="shared" si="200"/>
        <v>0</v>
      </c>
    </row>
    <row r="356" spans="1:14" s="889" customFormat="1" ht="13.5" customHeight="1">
      <c r="A356" s="2769" t="s">
        <v>2625</v>
      </c>
      <c r="B356" s="2770"/>
      <c r="C356" s="2771"/>
      <c r="D356" s="2768"/>
      <c r="E356" s="2768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9" customFormat="1" ht="13.5" customHeight="1">
      <c r="A357" s="2772"/>
      <c r="B357" s="1095" t="s">
        <v>2712</v>
      </c>
      <c r="C357" s="1096"/>
      <c r="D357" s="1097"/>
      <c r="E357" s="1098"/>
      <c r="F357" s="1099">
        <f t="shared" ref="F357:F364" si="201">SUM(G357:N357)</f>
        <v>172959290</v>
      </c>
      <c r="G357" s="1100">
        <f>SUM(G333:G345)+G349</f>
        <v>30900397</v>
      </c>
      <c r="H357" s="1100">
        <f t="shared" ref="H357:N357" si="202">SUM(H333:H345)+H349</f>
        <v>21544814</v>
      </c>
      <c r="I357" s="1100">
        <f t="shared" si="202"/>
        <v>2050888</v>
      </c>
      <c r="J357" s="1100">
        <f t="shared" si="202"/>
        <v>108573378</v>
      </c>
      <c r="K357" s="1100">
        <f t="shared" si="202"/>
        <v>9889813</v>
      </c>
      <c r="L357" s="1100">
        <f t="shared" si="202"/>
        <v>0</v>
      </c>
      <c r="M357" s="1100">
        <f t="shared" si="202"/>
        <v>0</v>
      </c>
      <c r="N357" s="1100">
        <f t="shared" si="202"/>
        <v>0</v>
      </c>
    </row>
    <row r="358" spans="1:14" s="889" customFormat="1" ht="13.5" customHeight="1">
      <c r="A358" s="2773"/>
      <c r="B358" s="2758" t="s">
        <v>2529</v>
      </c>
      <c r="C358" s="1101" t="s">
        <v>2530</v>
      </c>
      <c r="D358" s="1102">
        <v>1</v>
      </c>
      <c r="E358" s="1103" t="s">
        <v>2627</v>
      </c>
      <c r="F358" s="904">
        <f t="shared" si="201"/>
        <v>0</v>
      </c>
      <c r="G358" s="905">
        <f t="shared" ref="G358:N358" si="203">IF(G304="積上げ",0,+G333)</f>
        <v>0</v>
      </c>
      <c r="H358" s="905">
        <f t="shared" si="203"/>
        <v>0</v>
      </c>
      <c r="I358" s="905">
        <f t="shared" si="203"/>
        <v>0</v>
      </c>
      <c r="J358" s="905">
        <f t="shared" si="203"/>
        <v>0</v>
      </c>
      <c r="K358" s="905">
        <f t="shared" si="203"/>
        <v>0</v>
      </c>
      <c r="L358" s="905">
        <f t="shared" si="203"/>
        <v>0</v>
      </c>
      <c r="M358" s="905">
        <f t="shared" si="203"/>
        <v>0</v>
      </c>
      <c r="N358" s="905">
        <f t="shared" si="203"/>
        <v>0</v>
      </c>
    </row>
    <row r="359" spans="1:14" s="889" customFormat="1" ht="13.5" customHeight="1">
      <c r="A359" s="2773"/>
      <c r="B359" s="2756"/>
      <c r="C359" s="1101" t="s">
        <v>2531</v>
      </c>
      <c r="D359" s="1102">
        <v>1</v>
      </c>
      <c r="E359" s="1103" t="s">
        <v>2627</v>
      </c>
      <c r="F359" s="904">
        <f t="shared" si="201"/>
        <v>166310690</v>
      </c>
      <c r="G359" s="905">
        <f t="shared" ref="G359:N359" si="204">IF(G304="積上げ",0,+G334)</f>
        <v>26169897</v>
      </c>
      <c r="H359" s="905">
        <f t="shared" si="204"/>
        <v>21544814</v>
      </c>
      <c r="I359" s="905">
        <f t="shared" si="204"/>
        <v>1712888</v>
      </c>
      <c r="J359" s="905">
        <f t="shared" si="204"/>
        <v>107486578</v>
      </c>
      <c r="K359" s="905">
        <f t="shared" si="204"/>
        <v>9396513</v>
      </c>
      <c r="L359" s="905">
        <f t="shared" si="204"/>
        <v>0</v>
      </c>
      <c r="M359" s="905">
        <f t="shared" si="204"/>
        <v>0</v>
      </c>
      <c r="N359" s="905">
        <f t="shared" si="204"/>
        <v>0</v>
      </c>
    </row>
    <row r="360" spans="1:14" s="889" customFormat="1" ht="14">
      <c r="A360" s="2773"/>
      <c r="B360" s="2756"/>
      <c r="C360" s="1101" t="s">
        <v>2628</v>
      </c>
      <c r="D360" s="1102">
        <v>0.9</v>
      </c>
      <c r="E360" s="1103" t="s">
        <v>2627</v>
      </c>
      <c r="F360" s="904">
        <f t="shared" si="201"/>
        <v>0</v>
      </c>
      <c r="G360" s="905">
        <f t="shared" ref="G360:N360" si="205">IF(G304="積上げ",0,+G335)</f>
        <v>0</v>
      </c>
      <c r="H360" s="905">
        <f t="shared" si="205"/>
        <v>0</v>
      </c>
      <c r="I360" s="905">
        <f t="shared" si="205"/>
        <v>0</v>
      </c>
      <c r="J360" s="905">
        <f t="shared" si="205"/>
        <v>0</v>
      </c>
      <c r="K360" s="905">
        <f t="shared" si="205"/>
        <v>0</v>
      </c>
      <c r="L360" s="905">
        <f t="shared" si="205"/>
        <v>0</v>
      </c>
      <c r="M360" s="905">
        <f t="shared" si="205"/>
        <v>0</v>
      </c>
      <c r="N360" s="905">
        <f t="shared" si="205"/>
        <v>0</v>
      </c>
    </row>
    <row r="361" spans="1:14" s="889" customFormat="1" ht="14">
      <c r="A361" s="2773"/>
      <c r="B361" s="2757"/>
      <c r="C361" s="1101" t="s">
        <v>2629</v>
      </c>
      <c r="D361" s="1102">
        <v>0.9</v>
      </c>
      <c r="E361" s="1103" t="s">
        <v>2627</v>
      </c>
      <c r="F361" s="904">
        <f t="shared" si="201"/>
        <v>0</v>
      </c>
      <c r="G361" s="905">
        <f t="shared" ref="G361:N361" si="206">IF(G304="積上げ",0,+G336)</f>
        <v>0</v>
      </c>
      <c r="H361" s="905">
        <f t="shared" si="206"/>
        <v>0</v>
      </c>
      <c r="I361" s="905">
        <f t="shared" si="206"/>
        <v>0</v>
      </c>
      <c r="J361" s="905">
        <f t="shared" si="206"/>
        <v>0</v>
      </c>
      <c r="K361" s="905">
        <f t="shared" si="206"/>
        <v>0</v>
      </c>
      <c r="L361" s="905">
        <f t="shared" si="206"/>
        <v>0</v>
      </c>
      <c r="M361" s="905">
        <f t="shared" si="206"/>
        <v>0</v>
      </c>
      <c r="N361" s="905">
        <f t="shared" si="206"/>
        <v>0</v>
      </c>
    </row>
    <row r="362" spans="1:14" s="889" customFormat="1" ht="14">
      <c r="A362" s="2773"/>
      <c r="B362" s="2758" t="s">
        <v>2534</v>
      </c>
      <c r="C362" s="1101" t="s">
        <v>2630</v>
      </c>
      <c r="D362" s="1102">
        <v>1</v>
      </c>
      <c r="E362" s="1104">
        <v>0.01</v>
      </c>
      <c r="F362" s="904">
        <f t="shared" si="201"/>
        <v>0</v>
      </c>
      <c r="G362" s="905">
        <f t="shared" ref="G362:N362" si="207">IF(G304="積上げ",0,+G337)</f>
        <v>0</v>
      </c>
      <c r="H362" s="905">
        <f t="shared" si="207"/>
        <v>0</v>
      </c>
      <c r="I362" s="905">
        <f t="shared" si="207"/>
        <v>0</v>
      </c>
      <c r="J362" s="905">
        <f t="shared" si="207"/>
        <v>0</v>
      </c>
      <c r="K362" s="905">
        <f t="shared" si="207"/>
        <v>0</v>
      </c>
      <c r="L362" s="905">
        <f t="shared" si="207"/>
        <v>0</v>
      </c>
      <c r="M362" s="905">
        <f t="shared" si="207"/>
        <v>0</v>
      </c>
      <c r="N362" s="905">
        <f t="shared" si="207"/>
        <v>0</v>
      </c>
    </row>
    <row r="363" spans="1:14" s="889" customFormat="1" ht="14">
      <c r="A363" s="2773"/>
      <c r="B363" s="2756"/>
      <c r="C363" s="1101" t="s">
        <v>2631</v>
      </c>
      <c r="D363" s="1102">
        <v>1</v>
      </c>
      <c r="E363" s="1104">
        <v>0.01</v>
      </c>
      <c r="F363" s="904">
        <f t="shared" si="201"/>
        <v>0</v>
      </c>
      <c r="G363" s="905">
        <f t="shared" ref="G363:N363" si="208">IF(G304="積上げ",0,G338)</f>
        <v>0</v>
      </c>
      <c r="H363" s="905">
        <f t="shared" si="208"/>
        <v>0</v>
      </c>
      <c r="I363" s="905">
        <f t="shared" si="208"/>
        <v>0</v>
      </c>
      <c r="J363" s="905">
        <f t="shared" si="208"/>
        <v>0</v>
      </c>
      <c r="K363" s="905">
        <f t="shared" si="208"/>
        <v>0</v>
      </c>
      <c r="L363" s="905">
        <f t="shared" si="208"/>
        <v>0</v>
      </c>
      <c r="M363" s="905">
        <f t="shared" si="208"/>
        <v>0</v>
      </c>
      <c r="N363" s="905">
        <f t="shared" si="208"/>
        <v>0</v>
      </c>
    </row>
    <row r="364" spans="1:14" s="889" customFormat="1" ht="14">
      <c r="A364" s="2773"/>
      <c r="B364" s="2756"/>
      <c r="C364" s="1101" t="s">
        <v>2537</v>
      </c>
      <c r="D364" s="1102">
        <v>1</v>
      </c>
      <c r="E364" s="1104">
        <v>0.01</v>
      </c>
      <c r="F364" s="904">
        <f t="shared" si="201"/>
        <v>6648600</v>
      </c>
      <c r="G364" s="905">
        <f t="shared" ref="G364:N364" si="209">IF(G304="積上げ",0,G339)</f>
        <v>4730500</v>
      </c>
      <c r="H364" s="905">
        <f t="shared" si="209"/>
        <v>0</v>
      </c>
      <c r="I364" s="905">
        <f t="shared" si="209"/>
        <v>338000</v>
      </c>
      <c r="J364" s="905">
        <f t="shared" si="209"/>
        <v>1086800</v>
      </c>
      <c r="K364" s="905">
        <f t="shared" si="209"/>
        <v>493300</v>
      </c>
      <c r="L364" s="905">
        <f t="shared" si="209"/>
        <v>0</v>
      </c>
      <c r="M364" s="905">
        <f t="shared" si="209"/>
        <v>0</v>
      </c>
      <c r="N364" s="905">
        <f t="shared" si="209"/>
        <v>0</v>
      </c>
    </row>
    <row r="365" spans="1:14" s="889" customFormat="1" ht="14">
      <c r="A365" s="2773"/>
      <c r="B365" s="2756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</row>
    <row r="366" spans="1:14" s="889" customFormat="1" ht="14">
      <c r="A366" s="2773"/>
      <c r="B366" s="2756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</row>
    <row r="367" spans="1:14" s="889" customFormat="1" ht="14">
      <c r="A367" s="2773"/>
      <c r="B367" s="2756"/>
      <c r="C367" s="1101" t="s">
        <v>2540</v>
      </c>
      <c r="D367" s="1102">
        <v>1</v>
      </c>
      <c r="E367" s="1104">
        <v>0.01</v>
      </c>
      <c r="F367" s="904">
        <f>SUM(G367:N367)</f>
        <v>0</v>
      </c>
      <c r="G367" s="905">
        <f t="shared" ref="G367:N367" si="210">IF(G304="積上げ",0,+G342)</f>
        <v>0</v>
      </c>
      <c r="H367" s="905">
        <f t="shared" si="210"/>
        <v>0</v>
      </c>
      <c r="I367" s="905">
        <f t="shared" si="210"/>
        <v>0</v>
      </c>
      <c r="J367" s="905">
        <f t="shared" si="210"/>
        <v>0</v>
      </c>
      <c r="K367" s="905">
        <f t="shared" si="210"/>
        <v>0</v>
      </c>
      <c r="L367" s="905">
        <f t="shared" si="210"/>
        <v>0</v>
      </c>
      <c r="M367" s="905">
        <f t="shared" si="210"/>
        <v>0</v>
      </c>
      <c r="N367" s="905">
        <f t="shared" si="210"/>
        <v>0</v>
      </c>
    </row>
    <row r="368" spans="1:14" s="889" customFormat="1" ht="14">
      <c r="A368" s="2773"/>
      <c r="B368" s="2756"/>
      <c r="C368" s="1105" t="s">
        <v>2541</v>
      </c>
      <c r="D368" s="1102">
        <v>1</v>
      </c>
      <c r="E368" s="1104">
        <v>0.01</v>
      </c>
      <c r="F368" s="904">
        <f>SUM(G368:N368)</f>
        <v>0</v>
      </c>
      <c r="G368" s="905">
        <f t="shared" ref="G368:N368" si="211">IF(G304="積上げ",0,+G343)</f>
        <v>0</v>
      </c>
      <c r="H368" s="905">
        <f t="shared" si="211"/>
        <v>0</v>
      </c>
      <c r="I368" s="905">
        <f t="shared" si="211"/>
        <v>0</v>
      </c>
      <c r="J368" s="905">
        <f t="shared" si="211"/>
        <v>0</v>
      </c>
      <c r="K368" s="905">
        <f t="shared" si="211"/>
        <v>0</v>
      </c>
      <c r="L368" s="905">
        <f t="shared" si="211"/>
        <v>0</v>
      </c>
      <c r="M368" s="905">
        <f t="shared" si="211"/>
        <v>0</v>
      </c>
      <c r="N368" s="905">
        <f t="shared" si="211"/>
        <v>0</v>
      </c>
    </row>
    <row r="369" spans="1:14" s="889" customFormat="1" ht="14">
      <c r="A369" s="2773"/>
      <c r="B369" s="2756"/>
      <c r="C369" s="1105" t="s">
        <v>2619</v>
      </c>
      <c r="D369" s="1102">
        <v>1</v>
      </c>
      <c r="E369" s="1104">
        <v>0.01</v>
      </c>
      <c r="F369" s="904">
        <f>SUM(G369:N369)</f>
        <v>0</v>
      </c>
      <c r="G369" s="905">
        <f t="shared" ref="G369:N369" si="212">IF(G304="積上げ",0,+G344)</f>
        <v>0</v>
      </c>
      <c r="H369" s="905">
        <f t="shared" si="212"/>
        <v>0</v>
      </c>
      <c r="I369" s="905">
        <f t="shared" si="212"/>
        <v>0</v>
      </c>
      <c r="J369" s="905">
        <f t="shared" si="212"/>
        <v>0</v>
      </c>
      <c r="K369" s="905">
        <f t="shared" si="212"/>
        <v>0</v>
      </c>
      <c r="L369" s="905">
        <f t="shared" si="212"/>
        <v>0</v>
      </c>
      <c r="M369" s="905">
        <f t="shared" si="212"/>
        <v>0</v>
      </c>
      <c r="N369" s="905">
        <f t="shared" si="212"/>
        <v>0</v>
      </c>
    </row>
    <row r="370" spans="1:14" s="889" customFormat="1" ht="14">
      <c r="A370" s="2773"/>
      <c r="B370" s="2757"/>
      <c r="C370" s="1101" t="s">
        <v>2543</v>
      </c>
      <c r="D370" s="1102">
        <v>1</v>
      </c>
      <c r="E370" s="1104">
        <v>0.01</v>
      </c>
      <c r="F370" s="904">
        <f>SUM(G370:N370)</f>
        <v>0</v>
      </c>
      <c r="G370" s="905">
        <f t="shared" ref="G370:N370" si="213">IF(G304="積上げ",0,+G345)</f>
        <v>0</v>
      </c>
      <c r="H370" s="905">
        <f t="shared" si="213"/>
        <v>0</v>
      </c>
      <c r="I370" s="905">
        <f t="shared" si="213"/>
        <v>0</v>
      </c>
      <c r="J370" s="905">
        <f t="shared" si="213"/>
        <v>0</v>
      </c>
      <c r="K370" s="905">
        <f t="shared" si="213"/>
        <v>0</v>
      </c>
      <c r="L370" s="905">
        <f t="shared" si="213"/>
        <v>0</v>
      </c>
      <c r="M370" s="905">
        <f t="shared" si="213"/>
        <v>0</v>
      </c>
      <c r="N370" s="905">
        <f t="shared" si="213"/>
        <v>0</v>
      </c>
    </row>
    <row r="371" spans="1:14" s="889" customFormat="1" ht="14">
      <c r="A371" s="2774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SUM(G371:N371)</f>
        <v>470982</v>
      </c>
      <c r="G371" s="1064">
        <f>IF(G304="積上げ",0,SUM(G349:G352)+G346)</f>
        <v>74719</v>
      </c>
      <c r="H371" s="1064">
        <f t="shared" ref="H371:N371" si="214">IF(H304="積上げ",0,SUM(H349:H352)+H346)</f>
        <v>10832</v>
      </c>
      <c r="I371" s="1064">
        <f t="shared" si="214"/>
        <v>1593</v>
      </c>
      <c r="J371" s="1064">
        <f t="shared" si="214"/>
        <v>383838</v>
      </c>
      <c r="K371" s="1064">
        <f t="shared" si="214"/>
        <v>0</v>
      </c>
      <c r="L371" s="1064">
        <f t="shared" si="214"/>
        <v>0</v>
      </c>
      <c r="M371" s="1064">
        <f t="shared" si="214"/>
        <v>0</v>
      </c>
      <c r="N371" s="1064">
        <f t="shared" si="214"/>
        <v>0</v>
      </c>
    </row>
    <row r="372" spans="1:14" s="889" customFormat="1" ht="14">
      <c r="A372" s="1110"/>
      <c r="B372" s="1111"/>
      <c r="C372" s="1112"/>
      <c r="D372" s="2775"/>
      <c r="E372" s="2775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9" customFormat="1" ht="14">
      <c r="A373" s="2769" t="s">
        <v>2634</v>
      </c>
      <c r="B373" s="2770"/>
      <c r="C373" s="2771"/>
      <c r="D373" s="2776"/>
      <c r="E373" s="2776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9" customFormat="1" ht="14">
      <c r="A374" s="2772"/>
      <c r="B374" s="275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N374" si="215">IF(G358=0,0,IF(G306="有り",+G479/100,G480/100))</f>
        <v>0</v>
      </c>
      <c r="H374" s="1118">
        <f t="shared" si="215"/>
        <v>0</v>
      </c>
      <c r="I374" s="1118">
        <f t="shared" si="215"/>
        <v>0</v>
      </c>
      <c r="J374" s="1118">
        <f t="shared" si="215"/>
        <v>0</v>
      </c>
      <c r="K374" s="1118">
        <f t="shared" si="215"/>
        <v>0</v>
      </c>
      <c r="L374" s="1118">
        <f t="shared" si="215"/>
        <v>0</v>
      </c>
      <c r="M374" s="1118">
        <f t="shared" si="215"/>
        <v>0</v>
      </c>
      <c r="N374" s="1119">
        <f t="shared" si="215"/>
        <v>0</v>
      </c>
    </row>
    <row r="375" spans="1:14" s="889" customFormat="1" ht="14">
      <c r="A375" s="2773"/>
      <c r="B375" s="2756"/>
      <c r="C375" s="1120"/>
      <c r="D375" s="1121">
        <f>+D358</f>
        <v>1</v>
      </c>
      <c r="E375" s="1122" t="s">
        <v>2627</v>
      </c>
      <c r="F375" s="1055">
        <f>SUM(G375:N375)</f>
        <v>0</v>
      </c>
      <c r="G375" s="1071">
        <f t="shared" ref="G375:N375" si="216">ROUNDDOWN(G358*G374*$D375,0)</f>
        <v>0</v>
      </c>
      <c r="H375" s="1071">
        <f t="shared" si="216"/>
        <v>0</v>
      </c>
      <c r="I375" s="1071">
        <f t="shared" si="216"/>
        <v>0</v>
      </c>
      <c r="J375" s="1071">
        <f t="shared" si="216"/>
        <v>0</v>
      </c>
      <c r="K375" s="1071">
        <f t="shared" si="216"/>
        <v>0</v>
      </c>
      <c r="L375" s="1071">
        <f t="shared" si="216"/>
        <v>0</v>
      </c>
      <c r="M375" s="1071">
        <f t="shared" si="216"/>
        <v>0</v>
      </c>
      <c r="N375" s="1072">
        <f t="shared" si="216"/>
        <v>0</v>
      </c>
    </row>
    <row r="376" spans="1:14" s="889" customFormat="1" ht="14">
      <c r="A376" s="2773"/>
      <c r="B376" s="2756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N376" si="217">IF(G359=0,0,IF(G306="有り",G488/100,+G489/100))</f>
        <v>3.2300000000000002E-2</v>
      </c>
      <c r="H376" s="1126">
        <f t="shared" si="217"/>
        <v>2.87E-2</v>
      </c>
      <c r="I376" s="1126">
        <f t="shared" si="217"/>
        <v>3.2300000000000002E-2</v>
      </c>
      <c r="J376" s="1126">
        <f t="shared" si="217"/>
        <v>3.2300000000000002E-2</v>
      </c>
      <c r="K376" s="1126">
        <f t="shared" si="217"/>
        <v>3.2300000000000002E-2</v>
      </c>
      <c r="L376" s="1126">
        <f t="shared" si="217"/>
        <v>0</v>
      </c>
      <c r="M376" s="1126">
        <f t="shared" si="217"/>
        <v>0</v>
      </c>
      <c r="N376" s="1127">
        <f t="shared" si="217"/>
        <v>0</v>
      </c>
    </row>
    <row r="377" spans="1:14" s="889" customFormat="1" ht="14">
      <c r="A377" s="2773"/>
      <c r="B377" s="2756"/>
      <c r="C377" s="1120"/>
      <c r="D377" s="1128">
        <f t="shared" ref="D377:D382" si="218">+D359</f>
        <v>1</v>
      </c>
      <c r="E377" s="1122" t="s">
        <v>2627</v>
      </c>
      <c r="F377" s="1055">
        <f>SUM(G377:N377)</f>
        <v>5294272</v>
      </c>
      <c r="G377" s="1071">
        <f t="shared" ref="G377:N377" si="219">ROUNDDOWN(G359*G376*$D377,0)</f>
        <v>845287</v>
      </c>
      <c r="H377" s="1071">
        <f t="shared" si="219"/>
        <v>618336</v>
      </c>
      <c r="I377" s="1071">
        <f t="shared" si="219"/>
        <v>55326</v>
      </c>
      <c r="J377" s="1071">
        <f t="shared" si="219"/>
        <v>3471816</v>
      </c>
      <c r="K377" s="1071">
        <f t="shared" si="219"/>
        <v>303507</v>
      </c>
      <c r="L377" s="1071">
        <f t="shared" si="219"/>
        <v>0</v>
      </c>
      <c r="M377" s="1071">
        <f t="shared" si="219"/>
        <v>0</v>
      </c>
      <c r="N377" s="1072">
        <f t="shared" si="219"/>
        <v>0</v>
      </c>
    </row>
    <row r="378" spans="1:14" s="889" customFormat="1" ht="14">
      <c r="A378" s="2773"/>
      <c r="B378" s="2756"/>
      <c r="C378" s="1101" t="s">
        <v>2553</v>
      </c>
      <c r="D378" s="1129">
        <v>0.9</v>
      </c>
      <c r="E378" s="1122" t="s">
        <v>2627</v>
      </c>
      <c r="F378" s="1055">
        <f>SUM(G378:N378)</f>
        <v>0</v>
      </c>
      <c r="G378" s="1071">
        <f t="shared" ref="G378:N378" si="220">ROUNDDOWN(G360*G374*$D378,0)</f>
        <v>0</v>
      </c>
      <c r="H378" s="1071">
        <f t="shared" si="220"/>
        <v>0</v>
      </c>
      <c r="I378" s="1071">
        <f t="shared" si="220"/>
        <v>0</v>
      </c>
      <c r="J378" s="1071">
        <f t="shared" si="220"/>
        <v>0</v>
      </c>
      <c r="K378" s="1071">
        <f t="shared" si="220"/>
        <v>0</v>
      </c>
      <c r="L378" s="1071">
        <f t="shared" si="220"/>
        <v>0</v>
      </c>
      <c r="M378" s="1071">
        <f t="shared" si="220"/>
        <v>0</v>
      </c>
      <c r="N378" s="1072">
        <f t="shared" si="220"/>
        <v>0</v>
      </c>
    </row>
    <row r="379" spans="1:14" s="889" customFormat="1" ht="14">
      <c r="A379" s="2773"/>
      <c r="B379" s="2757"/>
      <c r="C379" s="1101" t="s">
        <v>2554</v>
      </c>
      <c r="D379" s="1129">
        <v>0.9</v>
      </c>
      <c r="E379" s="1122" t="s">
        <v>2627</v>
      </c>
      <c r="F379" s="1055">
        <f>SUM(G379:N379)</f>
        <v>0</v>
      </c>
      <c r="G379" s="1071">
        <f t="shared" ref="G379:N379" si="221">ROUNDDOWN(G361*G376*$D379,0)</f>
        <v>0</v>
      </c>
      <c r="H379" s="1071">
        <f t="shared" si="221"/>
        <v>0</v>
      </c>
      <c r="I379" s="1071">
        <f t="shared" si="221"/>
        <v>0</v>
      </c>
      <c r="J379" s="1071">
        <f t="shared" si="221"/>
        <v>0</v>
      </c>
      <c r="K379" s="1071">
        <f t="shared" si="221"/>
        <v>0</v>
      </c>
      <c r="L379" s="1071">
        <f t="shared" si="221"/>
        <v>0</v>
      </c>
      <c r="M379" s="1071">
        <f t="shared" si="221"/>
        <v>0</v>
      </c>
      <c r="N379" s="1072">
        <f t="shared" si="221"/>
        <v>0</v>
      </c>
    </row>
    <row r="380" spans="1:14" s="889" customFormat="1" ht="14">
      <c r="A380" s="2773"/>
      <c r="B380" s="2758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N389" si="222">ROUNDDOWN(G362*$E380*$D380,0)</f>
        <v>0</v>
      </c>
      <c r="H380" s="1071">
        <f t="shared" si="222"/>
        <v>0</v>
      </c>
      <c r="I380" s="1071">
        <f t="shared" si="222"/>
        <v>0</v>
      </c>
      <c r="J380" s="1071">
        <f t="shared" si="222"/>
        <v>0</v>
      </c>
      <c r="K380" s="1071">
        <f t="shared" si="222"/>
        <v>0</v>
      </c>
      <c r="L380" s="1071">
        <f t="shared" si="222"/>
        <v>0</v>
      </c>
      <c r="M380" s="1071">
        <f t="shared" si="222"/>
        <v>0</v>
      </c>
      <c r="N380" s="1071">
        <f t="shared" si="222"/>
        <v>0</v>
      </c>
    </row>
    <row r="381" spans="1:14" s="889" customFormat="1" ht="14">
      <c r="A381" s="2773"/>
      <c r="B381" s="2756"/>
      <c r="C381" s="1101" t="s">
        <v>2636</v>
      </c>
      <c r="D381" s="1129">
        <f t="shared" si="218"/>
        <v>1</v>
      </c>
      <c r="E381" s="1104">
        <f>+E363</f>
        <v>0.01</v>
      </c>
      <c r="F381" s="904">
        <v>0</v>
      </c>
      <c r="G381" s="1071">
        <f t="shared" si="222"/>
        <v>0</v>
      </c>
      <c r="H381" s="1071">
        <f t="shared" si="222"/>
        <v>0</v>
      </c>
      <c r="I381" s="1071">
        <f t="shared" si="222"/>
        <v>0</v>
      </c>
      <c r="J381" s="1071">
        <f t="shared" si="222"/>
        <v>0</v>
      </c>
      <c r="K381" s="1071">
        <f t="shared" si="222"/>
        <v>0</v>
      </c>
      <c r="L381" s="1071">
        <f t="shared" si="222"/>
        <v>0</v>
      </c>
      <c r="M381" s="1071">
        <f t="shared" si="222"/>
        <v>0</v>
      </c>
      <c r="N381" s="1071">
        <f t="shared" si="222"/>
        <v>0</v>
      </c>
    </row>
    <row r="382" spans="1:14" s="889" customFormat="1" ht="14">
      <c r="A382" s="2773"/>
      <c r="B382" s="2756"/>
      <c r="C382" s="1101" t="s">
        <v>2537</v>
      </c>
      <c r="D382" s="1129">
        <f t="shared" si="218"/>
        <v>1</v>
      </c>
      <c r="E382" s="1104">
        <f>+E364</f>
        <v>0.01</v>
      </c>
      <c r="F382" s="904">
        <v>0</v>
      </c>
      <c r="G382" s="1071">
        <f t="shared" si="222"/>
        <v>47305</v>
      </c>
      <c r="H382" s="1071">
        <f t="shared" si="222"/>
        <v>0</v>
      </c>
      <c r="I382" s="1071">
        <f t="shared" si="222"/>
        <v>3380</v>
      </c>
      <c r="J382" s="1071">
        <f t="shared" si="222"/>
        <v>10868</v>
      </c>
      <c r="K382" s="1071">
        <f t="shared" si="222"/>
        <v>4933</v>
      </c>
      <c r="L382" s="1071">
        <f t="shared" si="222"/>
        <v>0</v>
      </c>
      <c r="M382" s="1071">
        <f t="shared" si="222"/>
        <v>0</v>
      </c>
      <c r="N382" s="1071">
        <f t="shared" si="222"/>
        <v>0</v>
      </c>
    </row>
    <row r="383" spans="1:14" s="889" customFormat="1" ht="14">
      <c r="A383" s="2773"/>
      <c r="B383" s="2756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9" customFormat="1" ht="14">
      <c r="A384" s="2773"/>
      <c r="B384" s="2756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9" customFormat="1" ht="14">
      <c r="A385" s="2773"/>
      <c r="B385" s="2756"/>
      <c r="C385" s="1101" t="s">
        <v>2540</v>
      </c>
      <c r="D385" s="1129">
        <f t="shared" ref="D385:E389" si="223">+D367</f>
        <v>1</v>
      </c>
      <c r="E385" s="1104">
        <f t="shared" si="223"/>
        <v>0.01</v>
      </c>
      <c r="F385" s="904">
        <v>0</v>
      </c>
      <c r="G385" s="1071">
        <f t="shared" si="222"/>
        <v>0</v>
      </c>
      <c r="H385" s="1071">
        <f t="shared" si="222"/>
        <v>0</v>
      </c>
      <c r="I385" s="1071">
        <f t="shared" si="222"/>
        <v>0</v>
      </c>
      <c r="J385" s="1071">
        <f t="shared" si="222"/>
        <v>0</v>
      </c>
      <c r="K385" s="1071">
        <f t="shared" si="222"/>
        <v>0</v>
      </c>
      <c r="L385" s="1071">
        <f t="shared" si="222"/>
        <v>0</v>
      </c>
      <c r="M385" s="1071">
        <f t="shared" si="222"/>
        <v>0</v>
      </c>
      <c r="N385" s="1071">
        <f t="shared" si="222"/>
        <v>0</v>
      </c>
    </row>
    <row r="386" spans="1:14" s="889" customFormat="1" ht="14">
      <c r="A386" s="2773"/>
      <c r="B386" s="2756"/>
      <c r="C386" s="1105" t="s">
        <v>2638</v>
      </c>
      <c r="D386" s="1129">
        <f t="shared" si="223"/>
        <v>1</v>
      </c>
      <c r="E386" s="1104">
        <f t="shared" si="223"/>
        <v>0.01</v>
      </c>
      <c r="F386" s="904">
        <v>0</v>
      </c>
      <c r="G386" s="1071">
        <f t="shared" si="222"/>
        <v>0</v>
      </c>
      <c r="H386" s="1071">
        <f t="shared" si="222"/>
        <v>0</v>
      </c>
      <c r="I386" s="1071">
        <f t="shared" si="222"/>
        <v>0</v>
      </c>
      <c r="J386" s="1071">
        <f t="shared" si="222"/>
        <v>0</v>
      </c>
      <c r="K386" s="1071">
        <f t="shared" si="222"/>
        <v>0</v>
      </c>
      <c r="L386" s="1071">
        <f t="shared" si="222"/>
        <v>0</v>
      </c>
      <c r="M386" s="1071">
        <f t="shared" si="222"/>
        <v>0</v>
      </c>
      <c r="N386" s="1071">
        <f t="shared" si="222"/>
        <v>0</v>
      </c>
    </row>
    <row r="387" spans="1:14" s="889" customFormat="1" ht="14">
      <c r="A387" s="2773"/>
      <c r="B387" s="2756"/>
      <c r="C387" s="1105" t="s">
        <v>2639</v>
      </c>
      <c r="D387" s="1129">
        <f t="shared" si="223"/>
        <v>1</v>
      </c>
      <c r="E387" s="1104">
        <f t="shared" si="223"/>
        <v>0.01</v>
      </c>
      <c r="F387" s="904">
        <v>0</v>
      </c>
      <c r="G387" s="1071">
        <f t="shared" si="222"/>
        <v>0</v>
      </c>
      <c r="H387" s="1071">
        <f t="shared" si="222"/>
        <v>0</v>
      </c>
      <c r="I387" s="1071">
        <f t="shared" si="222"/>
        <v>0</v>
      </c>
      <c r="J387" s="1071">
        <f t="shared" si="222"/>
        <v>0</v>
      </c>
      <c r="K387" s="1071">
        <f t="shared" si="222"/>
        <v>0</v>
      </c>
      <c r="L387" s="1071">
        <f t="shared" si="222"/>
        <v>0</v>
      </c>
      <c r="M387" s="1071">
        <f t="shared" si="222"/>
        <v>0</v>
      </c>
      <c r="N387" s="1071">
        <f t="shared" si="222"/>
        <v>0</v>
      </c>
    </row>
    <row r="388" spans="1:14" s="889" customFormat="1" ht="14">
      <c r="A388" s="2773"/>
      <c r="B388" s="2757"/>
      <c r="C388" s="1101" t="s">
        <v>2543</v>
      </c>
      <c r="D388" s="1129">
        <f t="shared" si="223"/>
        <v>1</v>
      </c>
      <c r="E388" s="1104">
        <f t="shared" si="223"/>
        <v>0.01</v>
      </c>
      <c r="F388" s="904">
        <v>0</v>
      </c>
      <c r="G388" s="1071">
        <f t="shared" si="222"/>
        <v>0</v>
      </c>
      <c r="H388" s="1071">
        <f t="shared" si="222"/>
        <v>0</v>
      </c>
      <c r="I388" s="1071">
        <f t="shared" si="222"/>
        <v>0</v>
      </c>
      <c r="J388" s="1071">
        <f t="shared" si="222"/>
        <v>0</v>
      </c>
      <c r="K388" s="1071">
        <f t="shared" si="222"/>
        <v>0</v>
      </c>
      <c r="L388" s="1071">
        <f t="shared" si="222"/>
        <v>0</v>
      </c>
      <c r="M388" s="1071">
        <f t="shared" si="222"/>
        <v>0</v>
      </c>
      <c r="N388" s="1071">
        <f t="shared" si="222"/>
        <v>0</v>
      </c>
    </row>
    <row r="389" spans="1:14" s="889" customFormat="1" ht="15" thickBot="1">
      <c r="A389" s="2777"/>
      <c r="B389" s="1131" t="s">
        <v>2632</v>
      </c>
      <c r="C389" s="1132" t="s">
        <v>2640</v>
      </c>
      <c r="D389" s="1133">
        <f t="shared" si="223"/>
        <v>1</v>
      </c>
      <c r="E389" s="1134">
        <f t="shared" si="223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2"/>
        <v>0</v>
      </c>
      <c r="L389" s="1071">
        <f t="shared" si="222"/>
        <v>0</v>
      </c>
      <c r="M389" s="1071">
        <f t="shared" si="222"/>
        <v>0</v>
      </c>
      <c r="N389" s="1071">
        <f t="shared" si="222"/>
        <v>0</v>
      </c>
    </row>
    <row r="390" spans="1:14" s="889" customFormat="1" ht="15" thickTop="1">
      <c r="A390" s="1136"/>
      <c r="B390" s="1137"/>
      <c r="C390" s="1138" t="s">
        <v>2641</v>
      </c>
      <c r="D390" s="1139"/>
      <c r="E390" s="1140"/>
      <c r="F390" s="1141">
        <f>SUM(G390:N390)</f>
        <v>5360758</v>
      </c>
      <c r="G390" s="1142">
        <f>SUM(G377:G389)+G375</f>
        <v>892592</v>
      </c>
      <c r="H390" s="1142">
        <f t="shared" ref="H390:N390" si="224">SUM(H377:H389)+H375</f>
        <v>618336</v>
      </c>
      <c r="I390" s="1142">
        <f t="shared" si="224"/>
        <v>58706</v>
      </c>
      <c r="J390" s="1142">
        <f t="shared" si="224"/>
        <v>3482684</v>
      </c>
      <c r="K390" s="1142">
        <f t="shared" si="224"/>
        <v>308440</v>
      </c>
      <c r="L390" s="1142">
        <f t="shared" si="224"/>
        <v>0</v>
      </c>
      <c r="M390" s="1142">
        <f t="shared" si="224"/>
        <v>0</v>
      </c>
      <c r="N390" s="1143">
        <f t="shared" si="224"/>
        <v>0</v>
      </c>
    </row>
    <row r="391" spans="1:14" s="889" customFormat="1" ht="14">
      <c r="A391" s="1286"/>
      <c r="B391" s="1286"/>
      <c r="C391" s="917"/>
      <c r="D391" s="917"/>
      <c r="E391" s="1286"/>
      <c r="F391" s="1144"/>
      <c r="G391" s="908"/>
      <c r="H391" s="908"/>
      <c r="I391" s="908"/>
      <c r="J391" s="908"/>
      <c r="K391" s="908"/>
      <c r="L391" s="908"/>
      <c r="M391" s="908"/>
      <c r="N391" s="908"/>
    </row>
    <row r="392" spans="1:14" s="889" customFormat="1" ht="14">
      <c r="A392" s="1286"/>
      <c r="B392" s="1286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2715</v>
      </c>
    </row>
    <row r="393" spans="1:14" s="889" customFormat="1" ht="14">
      <c r="A393" s="1286"/>
      <c r="B393" s="1286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9" customFormat="1" ht="14">
      <c r="A394" s="870"/>
      <c r="B394" s="871"/>
      <c r="C394" s="871"/>
      <c r="D394" s="2767" t="s">
        <v>2623</v>
      </c>
      <c r="E394" s="2767" t="s">
        <v>2624</v>
      </c>
      <c r="F394" s="1083" t="s">
        <v>2505</v>
      </c>
      <c r="G394" s="1084" t="str">
        <f t="shared" ref="G394:N394" si="225">+G302</f>
        <v>工事1</v>
      </c>
      <c r="H394" s="1084" t="str">
        <f t="shared" si="225"/>
        <v>工事2</v>
      </c>
      <c r="I394" s="1084" t="str">
        <f t="shared" si="225"/>
        <v>工事3</v>
      </c>
      <c r="J394" s="1084" t="str">
        <f t="shared" si="225"/>
        <v>工事4</v>
      </c>
      <c r="K394" s="1084" t="str">
        <f t="shared" si="225"/>
        <v>工事5</v>
      </c>
      <c r="L394" s="1084">
        <f t="shared" si="225"/>
        <v>0</v>
      </c>
      <c r="M394" s="1084">
        <f t="shared" si="225"/>
        <v>0</v>
      </c>
      <c r="N394" s="1085">
        <f t="shared" si="225"/>
        <v>0</v>
      </c>
    </row>
    <row r="395" spans="1:14" s="889" customFormat="1" ht="14">
      <c r="A395" s="2769" t="s">
        <v>2645</v>
      </c>
      <c r="B395" s="2770"/>
      <c r="C395" s="2771"/>
      <c r="D395" s="2768"/>
      <c r="E395" s="2768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9" customFormat="1" ht="14">
      <c r="A396" s="2772"/>
      <c r="B396" s="1095" t="s">
        <v>2646</v>
      </c>
      <c r="C396" s="1096"/>
      <c r="D396" s="1097"/>
      <c r="E396" s="1098"/>
      <c r="F396" s="1099">
        <f t="shared" ref="F396:F403" si="226">SUM(G396:N396)</f>
        <v>184452572</v>
      </c>
      <c r="G396" s="1100">
        <f t="shared" ref="G396:N396" si="227">+G307-G351-G350-G346-G347</f>
        <v>35386357</v>
      </c>
      <c r="H396" s="1100">
        <f t="shared" si="227"/>
        <v>22301588</v>
      </c>
      <c r="I396" s="1100">
        <f t="shared" si="227"/>
        <v>2129897</v>
      </c>
      <c r="J396" s="1100">
        <f t="shared" si="227"/>
        <v>114326484</v>
      </c>
      <c r="K396" s="1100">
        <f t="shared" si="227"/>
        <v>10308246</v>
      </c>
      <c r="L396" s="1100">
        <f t="shared" si="227"/>
        <v>0</v>
      </c>
      <c r="M396" s="1100">
        <f t="shared" si="227"/>
        <v>0</v>
      </c>
      <c r="N396" s="1113">
        <f t="shared" si="227"/>
        <v>0</v>
      </c>
    </row>
    <row r="397" spans="1:14" s="889" customFormat="1" ht="14">
      <c r="A397" s="2773"/>
      <c r="B397" s="2758" t="s">
        <v>2529</v>
      </c>
      <c r="C397" s="1101" t="s">
        <v>2530</v>
      </c>
      <c r="D397" s="1102">
        <v>1</v>
      </c>
      <c r="E397" s="1103" t="s">
        <v>2627</v>
      </c>
      <c r="F397" s="904">
        <f t="shared" si="226"/>
        <v>0</v>
      </c>
      <c r="G397" s="905">
        <f>IF(G333&gt;=G334,+G333+G375+G314-G315-G316-G351,G333+G375)</f>
        <v>0</v>
      </c>
      <c r="H397" s="905">
        <f t="shared" ref="H397:N397" si="228">IF(H333&gt;=H334,+H333+H375+H314-H315-H316-H351,H333+H375)</f>
        <v>0</v>
      </c>
      <c r="I397" s="905">
        <f t="shared" si="228"/>
        <v>0</v>
      </c>
      <c r="J397" s="905">
        <f t="shared" si="228"/>
        <v>0</v>
      </c>
      <c r="K397" s="905">
        <f t="shared" si="228"/>
        <v>0</v>
      </c>
      <c r="L397" s="905">
        <f t="shared" si="228"/>
        <v>0</v>
      </c>
      <c r="M397" s="905">
        <f t="shared" si="228"/>
        <v>0</v>
      </c>
      <c r="N397" s="906">
        <f t="shared" si="228"/>
        <v>0</v>
      </c>
    </row>
    <row r="398" spans="1:14" s="889" customFormat="1" ht="14">
      <c r="A398" s="2773"/>
      <c r="B398" s="2756"/>
      <c r="C398" s="1101" t="s">
        <v>2531</v>
      </c>
      <c r="D398" s="1102">
        <v>1</v>
      </c>
      <c r="E398" s="1103" t="s">
        <v>2627</v>
      </c>
      <c r="F398" s="904">
        <f t="shared" si="226"/>
        <v>177737486</v>
      </c>
      <c r="G398" s="905">
        <f>IF(G333&gt;=G334,+G334+G377,G334+G377+G314-G315-G316-G351)</f>
        <v>30608552</v>
      </c>
      <c r="H398" s="905">
        <f t="shared" ref="H398:N398" si="229">IF(H333&gt;=H334,+H334+H377,H334+H377+H314-H315-H316-H351)</f>
        <v>22301588</v>
      </c>
      <c r="I398" s="905">
        <f t="shared" si="229"/>
        <v>1788517</v>
      </c>
      <c r="J398" s="905">
        <f t="shared" si="229"/>
        <v>113228816</v>
      </c>
      <c r="K398" s="905">
        <f t="shared" si="229"/>
        <v>9810013</v>
      </c>
      <c r="L398" s="905">
        <f t="shared" si="229"/>
        <v>0</v>
      </c>
      <c r="M398" s="905">
        <f t="shared" si="229"/>
        <v>0</v>
      </c>
      <c r="N398" s="906">
        <f t="shared" si="229"/>
        <v>0</v>
      </c>
    </row>
    <row r="399" spans="1:14" s="889" customFormat="1" ht="14">
      <c r="A399" s="2773"/>
      <c r="B399" s="2756"/>
      <c r="C399" s="1101" t="s">
        <v>2628</v>
      </c>
      <c r="D399" s="1102">
        <v>1</v>
      </c>
      <c r="E399" s="1103" t="s">
        <v>2627</v>
      </c>
      <c r="F399" s="904">
        <f t="shared" si="226"/>
        <v>0</v>
      </c>
      <c r="G399" s="905">
        <f>+G335+G378</f>
        <v>0</v>
      </c>
      <c r="H399" s="905">
        <f t="shared" ref="H399:N403" si="230">+H335+H378</f>
        <v>0</v>
      </c>
      <c r="I399" s="905">
        <f t="shared" si="230"/>
        <v>0</v>
      </c>
      <c r="J399" s="905">
        <f t="shared" si="230"/>
        <v>0</v>
      </c>
      <c r="K399" s="905">
        <f t="shared" si="230"/>
        <v>0</v>
      </c>
      <c r="L399" s="905">
        <f t="shared" si="230"/>
        <v>0</v>
      </c>
      <c r="M399" s="905">
        <f t="shared" si="230"/>
        <v>0</v>
      </c>
      <c r="N399" s="906">
        <f t="shared" si="230"/>
        <v>0</v>
      </c>
    </row>
    <row r="400" spans="1:14" s="889" customFormat="1" ht="14">
      <c r="A400" s="2773"/>
      <c r="B400" s="2757"/>
      <c r="C400" s="1101" t="s">
        <v>2629</v>
      </c>
      <c r="D400" s="1102">
        <v>1</v>
      </c>
      <c r="E400" s="1103" t="s">
        <v>2627</v>
      </c>
      <c r="F400" s="904">
        <f t="shared" si="226"/>
        <v>0</v>
      </c>
      <c r="G400" s="905">
        <f>+G336+G379</f>
        <v>0</v>
      </c>
      <c r="H400" s="905">
        <f t="shared" si="230"/>
        <v>0</v>
      </c>
      <c r="I400" s="905">
        <f t="shared" si="230"/>
        <v>0</v>
      </c>
      <c r="J400" s="905">
        <f t="shared" si="230"/>
        <v>0</v>
      </c>
      <c r="K400" s="905">
        <f t="shared" si="230"/>
        <v>0</v>
      </c>
      <c r="L400" s="905">
        <f t="shared" si="230"/>
        <v>0</v>
      </c>
      <c r="M400" s="905">
        <f t="shared" si="230"/>
        <v>0</v>
      </c>
      <c r="N400" s="906">
        <f t="shared" si="230"/>
        <v>0</v>
      </c>
    </row>
    <row r="401" spans="1:14" s="889" customFormat="1" ht="14">
      <c r="A401" s="2773"/>
      <c r="B401" s="2758" t="s">
        <v>2534</v>
      </c>
      <c r="C401" s="1101" t="s">
        <v>2630</v>
      </c>
      <c r="D401" s="1102">
        <v>1</v>
      </c>
      <c r="E401" s="1104">
        <v>0.02</v>
      </c>
      <c r="F401" s="904">
        <f t="shared" si="226"/>
        <v>0</v>
      </c>
      <c r="G401" s="905">
        <f>+G337+G380</f>
        <v>0</v>
      </c>
      <c r="H401" s="905">
        <f t="shared" si="230"/>
        <v>0</v>
      </c>
      <c r="I401" s="905">
        <f t="shared" si="230"/>
        <v>0</v>
      </c>
      <c r="J401" s="905">
        <f t="shared" si="230"/>
        <v>0</v>
      </c>
      <c r="K401" s="905">
        <f t="shared" si="230"/>
        <v>0</v>
      </c>
      <c r="L401" s="905">
        <f t="shared" si="230"/>
        <v>0</v>
      </c>
      <c r="M401" s="905">
        <f t="shared" si="230"/>
        <v>0</v>
      </c>
      <c r="N401" s="906">
        <f t="shared" si="230"/>
        <v>0</v>
      </c>
    </row>
    <row r="402" spans="1:14" s="889" customFormat="1" ht="14">
      <c r="A402" s="2773"/>
      <c r="B402" s="2756"/>
      <c r="C402" s="1101" t="s">
        <v>2631</v>
      </c>
      <c r="D402" s="1102">
        <v>1</v>
      </c>
      <c r="E402" s="1104">
        <v>0.02</v>
      </c>
      <c r="F402" s="904">
        <f t="shared" si="226"/>
        <v>0</v>
      </c>
      <c r="G402" s="905">
        <f>+G338+G381</f>
        <v>0</v>
      </c>
      <c r="H402" s="905">
        <f t="shared" si="230"/>
        <v>0</v>
      </c>
      <c r="I402" s="905">
        <f t="shared" si="230"/>
        <v>0</v>
      </c>
      <c r="J402" s="905">
        <f t="shared" si="230"/>
        <v>0</v>
      </c>
      <c r="K402" s="905">
        <f t="shared" si="230"/>
        <v>0</v>
      </c>
      <c r="L402" s="905">
        <f t="shared" si="230"/>
        <v>0</v>
      </c>
      <c r="M402" s="905">
        <f t="shared" si="230"/>
        <v>0</v>
      </c>
      <c r="N402" s="906">
        <f t="shared" si="230"/>
        <v>0</v>
      </c>
    </row>
    <row r="403" spans="1:14" s="889" customFormat="1" ht="14">
      <c r="A403" s="2773"/>
      <c r="B403" s="2756"/>
      <c r="C403" s="1101" t="s">
        <v>2537</v>
      </c>
      <c r="D403" s="1102">
        <v>1</v>
      </c>
      <c r="E403" s="1104">
        <v>0.02</v>
      </c>
      <c r="F403" s="904">
        <f t="shared" si="226"/>
        <v>6715086</v>
      </c>
      <c r="G403" s="905">
        <f>+G339+G382</f>
        <v>4777805</v>
      </c>
      <c r="H403" s="905">
        <f t="shared" si="230"/>
        <v>0</v>
      </c>
      <c r="I403" s="905">
        <f t="shared" si="230"/>
        <v>341380</v>
      </c>
      <c r="J403" s="905">
        <f t="shared" si="230"/>
        <v>1097668</v>
      </c>
      <c r="K403" s="905">
        <f t="shared" si="230"/>
        <v>498233</v>
      </c>
      <c r="L403" s="905">
        <f t="shared" si="230"/>
        <v>0</v>
      </c>
      <c r="M403" s="905">
        <f t="shared" si="230"/>
        <v>0</v>
      </c>
      <c r="N403" s="906">
        <f t="shared" si="230"/>
        <v>0</v>
      </c>
    </row>
    <row r="404" spans="1:14" s="889" customFormat="1" ht="14">
      <c r="A404" s="2773"/>
      <c r="B404" s="2756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6"/>
    </row>
    <row r="405" spans="1:14" s="889" customFormat="1" ht="14">
      <c r="A405" s="2773"/>
      <c r="B405" s="2756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6"/>
    </row>
    <row r="406" spans="1:14" s="889" customFormat="1" ht="14">
      <c r="A406" s="2773"/>
      <c r="B406" s="2756"/>
      <c r="C406" s="1101" t="s">
        <v>2540</v>
      </c>
      <c r="D406" s="1102">
        <v>1</v>
      </c>
      <c r="E406" s="1104">
        <v>0.02</v>
      </c>
      <c r="F406" s="904">
        <f>SUM(G406:N406)</f>
        <v>0</v>
      </c>
      <c r="G406" s="905">
        <f t="shared" ref="G406:N409" si="231">+G342+G385</f>
        <v>0</v>
      </c>
      <c r="H406" s="905">
        <f t="shared" si="231"/>
        <v>0</v>
      </c>
      <c r="I406" s="905">
        <f t="shared" si="231"/>
        <v>0</v>
      </c>
      <c r="J406" s="905">
        <f t="shared" si="231"/>
        <v>0</v>
      </c>
      <c r="K406" s="905">
        <f t="shared" si="231"/>
        <v>0</v>
      </c>
      <c r="L406" s="905">
        <f t="shared" si="231"/>
        <v>0</v>
      </c>
      <c r="M406" s="905">
        <f t="shared" si="231"/>
        <v>0</v>
      </c>
      <c r="N406" s="906">
        <f t="shared" si="231"/>
        <v>0</v>
      </c>
    </row>
    <row r="407" spans="1:14" s="889" customFormat="1" ht="14">
      <c r="A407" s="2773"/>
      <c r="B407" s="2756"/>
      <c r="C407" s="1105" t="s">
        <v>2541</v>
      </c>
      <c r="D407" s="1102">
        <v>1</v>
      </c>
      <c r="E407" s="1104">
        <v>0.02</v>
      </c>
      <c r="F407" s="904">
        <f>SUM(G407:N407)</f>
        <v>0</v>
      </c>
      <c r="G407" s="905">
        <f t="shared" si="231"/>
        <v>0</v>
      </c>
      <c r="H407" s="905">
        <f t="shared" si="231"/>
        <v>0</v>
      </c>
      <c r="I407" s="905">
        <f t="shared" si="231"/>
        <v>0</v>
      </c>
      <c r="J407" s="905">
        <f t="shared" si="231"/>
        <v>0</v>
      </c>
      <c r="K407" s="905">
        <f t="shared" si="231"/>
        <v>0</v>
      </c>
      <c r="L407" s="905">
        <f t="shared" si="231"/>
        <v>0</v>
      </c>
      <c r="M407" s="905">
        <f t="shared" si="231"/>
        <v>0</v>
      </c>
      <c r="N407" s="906">
        <f t="shared" si="231"/>
        <v>0</v>
      </c>
    </row>
    <row r="408" spans="1:14" s="889" customFormat="1" ht="14">
      <c r="A408" s="2773"/>
      <c r="B408" s="2756"/>
      <c r="C408" s="1105" t="s">
        <v>2619</v>
      </c>
      <c r="D408" s="1102">
        <v>1</v>
      </c>
      <c r="E408" s="1104">
        <v>0.02</v>
      </c>
      <c r="F408" s="904">
        <f>SUM(G408:N408)</f>
        <v>0</v>
      </c>
      <c r="G408" s="905">
        <f t="shared" si="231"/>
        <v>0</v>
      </c>
      <c r="H408" s="905">
        <f t="shared" si="231"/>
        <v>0</v>
      </c>
      <c r="I408" s="905">
        <f t="shared" si="231"/>
        <v>0</v>
      </c>
      <c r="J408" s="905">
        <f t="shared" si="231"/>
        <v>0</v>
      </c>
      <c r="K408" s="905">
        <f t="shared" si="231"/>
        <v>0</v>
      </c>
      <c r="L408" s="905">
        <f t="shared" si="231"/>
        <v>0</v>
      </c>
      <c r="M408" s="905">
        <f t="shared" si="231"/>
        <v>0</v>
      </c>
      <c r="N408" s="906">
        <f t="shared" si="231"/>
        <v>0</v>
      </c>
    </row>
    <row r="409" spans="1:14" s="889" customFormat="1" ht="14">
      <c r="A409" s="2773"/>
      <c r="B409" s="2757"/>
      <c r="C409" s="1101" t="s">
        <v>2543</v>
      </c>
      <c r="D409" s="1102">
        <v>1</v>
      </c>
      <c r="E409" s="1104">
        <v>0.02</v>
      </c>
      <c r="F409" s="904">
        <f>SUM(G409:N409)</f>
        <v>0</v>
      </c>
      <c r="G409" s="905">
        <f t="shared" si="231"/>
        <v>0</v>
      </c>
      <c r="H409" s="905">
        <f t="shared" si="231"/>
        <v>0</v>
      </c>
      <c r="I409" s="905">
        <f t="shared" si="231"/>
        <v>0</v>
      </c>
      <c r="J409" s="905">
        <f t="shared" si="231"/>
        <v>0</v>
      </c>
      <c r="K409" s="905">
        <f t="shared" si="231"/>
        <v>0</v>
      </c>
      <c r="L409" s="905">
        <f t="shared" si="231"/>
        <v>0</v>
      </c>
      <c r="M409" s="905">
        <f t="shared" si="231"/>
        <v>0</v>
      </c>
      <c r="N409" s="906">
        <f t="shared" si="231"/>
        <v>0</v>
      </c>
    </row>
    <row r="410" spans="1:14" s="889" customFormat="1" ht="14">
      <c r="A410" s="2774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SUM(G410:N410)</f>
        <v>470982</v>
      </c>
      <c r="G410" s="1064">
        <f t="shared" ref="G410:N410" si="232">SUM(G346:G352)</f>
        <v>74719</v>
      </c>
      <c r="H410" s="1064">
        <f t="shared" si="232"/>
        <v>10832</v>
      </c>
      <c r="I410" s="1064">
        <f t="shared" si="232"/>
        <v>1593</v>
      </c>
      <c r="J410" s="1064">
        <f t="shared" si="232"/>
        <v>383838</v>
      </c>
      <c r="K410" s="1064">
        <f t="shared" si="232"/>
        <v>0</v>
      </c>
      <c r="L410" s="1064">
        <f t="shared" si="232"/>
        <v>0</v>
      </c>
      <c r="M410" s="1064">
        <f t="shared" si="232"/>
        <v>0</v>
      </c>
      <c r="N410" s="1065">
        <f t="shared" si="232"/>
        <v>0</v>
      </c>
    </row>
    <row r="411" spans="1:14" s="889" customFormat="1" ht="14">
      <c r="A411" s="1110"/>
      <c r="B411" s="1111"/>
      <c r="C411" s="1112"/>
      <c r="D411" s="2775"/>
      <c r="E411" s="2775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9" customFormat="1" ht="14">
      <c r="A412" s="2769" t="s">
        <v>2648</v>
      </c>
      <c r="B412" s="2770"/>
      <c r="C412" s="2771"/>
      <c r="D412" s="2776"/>
      <c r="E412" s="2776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9" customFormat="1" ht="14">
      <c r="A413" s="2772"/>
      <c r="B413" s="275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N413" si="233">IF(G397=0,0,+G497/100)</f>
        <v>0</v>
      </c>
      <c r="H413" s="1118">
        <f t="shared" si="233"/>
        <v>0</v>
      </c>
      <c r="I413" s="1118">
        <f t="shared" si="233"/>
        <v>0</v>
      </c>
      <c r="J413" s="1118">
        <f t="shared" si="233"/>
        <v>0</v>
      </c>
      <c r="K413" s="1118">
        <f t="shared" si="233"/>
        <v>0</v>
      </c>
      <c r="L413" s="1118">
        <f t="shared" si="233"/>
        <v>0</v>
      </c>
      <c r="M413" s="1118">
        <f t="shared" si="233"/>
        <v>0</v>
      </c>
      <c r="N413" s="1119">
        <f t="shared" si="233"/>
        <v>0</v>
      </c>
    </row>
    <row r="414" spans="1:14" s="889" customFormat="1" ht="14">
      <c r="A414" s="2773"/>
      <c r="B414" s="2756"/>
      <c r="C414" s="1120"/>
      <c r="D414" s="1121">
        <f>+D397</f>
        <v>1</v>
      </c>
      <c r="E414" s="1122" t="s">
        <v>2627</v>
      </c>
      <c r="F414" s="1055">
        <f>SUM(G414:N414)</f>
        <v>0</v>
      </c>
      <c r="G414" s="1071">
        <f t="shared" ref="G414:N414" si="234">ROUNDDOWN(G397*G413*$D414,0)</f>
        <v>0</v>
      </c>
      <c r="H414" s="1071">
        <f t="shared" si="234"/>
        <v>0</v>
      </c>
      <c r="I414" s="1071">
        <f t="shared" si="234"/>
        <v>0</v>
      </c>
      <c r="J414" s="1071">
        <f t="shared" si="234"/>
        <v>0</v>
      </c>
      <c r="K414" s="1071">
        <f t="shared" si="234"/>
        <v>0</v>
      </c>
      <c r="L414" s="1071">
        <f t="shared" si="234"/>
        <v>0</v>
      </c>
      <c r="M414" s="1071">
        <f t="shared" si="234"/>
        <v>0</v>
      </c>
      <c r="N414" s="1072">
        <f t="shared" si="234"/>
        <v>0</v>
      </c>
    </row>
    <row r="415" spans="1:14" s="889" customFormat="1" ht="14">
      <c r="A415" s="2773"/>
      <c r="B415" s="2756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N415" si="235">IF(G398=0,0,+G505/100)</f>
        <v>0.11869999999999999</v>
      </c>
      <c r="H415" s="1126">
        <f>IF(H398=0,0,+H505/100)</f>
        <v>0.1002</v>
      </c>
      <c r="I415" s="1126">
        <f t="shared" si="235"/>
        <v>0.11869999999999999</v>
      </c>
      <c r="J415" s="1126">
        <f t="shared" si="235"/>
        <v>0.11869999999999999</v>
      </c>
      <c r="K415" s="1126">
        <f t="shared" si="235"/>
        <v>0.11869999999999999</v>
      </c>
      <c r="L415" s="1126">
        <f t="shared" si="235"/>
        <v>0</v>
      </c>
      <c r="M415" s="1126">
        <f t="shared" si="235"/>
        <v>0</v>
      </c>
      <c r="N415" s="1127">
        <f t="shared" si="235"/>
        <v>0</v>
      </c>
    </row>
    <row r="416" spans="1:14" s="889" customFormat="1" ht="14">
      <c r="A416" s="2773"/>
      <c r="B416" s="2756"/>
      <c r="C416" s="1120"/>
      <c r="D416" s="1128">
        <f t="shared" ref="D416:D421" si="236">+D398</f>
        <v>1</v>
      </c>
      <c r="E416" s="1122" t="s">
        <v>2627</v>
      </c>
      <c r="F416" s="1055">
        <f t="shared" ref="F416:F421" si="237">SUM(G416:N416)</f>
        <v>20684858</v>
      </c>
      <c r="G416" s="1071">
        <f t="shared" ref="G416:N416" si="238">ROUNDDOWN(G398*G415*$D416,0)</f>
        <v>3633235</v>
      </c>
      <c r="H416" s="1071">
        <f t="shared" si="238"/>
        <v>2234619</v>
      </c>
      <c r="I416" s="1071">
        <f t="shared" si="238"/>
        <v>212296</v>
      </c>
      <c r="J416" s="1071">
        <f t="shared" si="238"/>
        <v>13440260</v>
      </c>
      <c r="K416" s="1071">
        <f t="shared" si="238"/>
        <v>1164448</v>
      </c>
      <c r="L416" s="1071">
        <f t="shared" si="238"/>
        <v>0</v>
      </c>
      <c r="M416" s="1071">
        <f t="shared" si="238"/>
        <v>0</v>
      </c>
      <c r="N416" s="1072">
        <f t="shared" si="238"/>
        <v>0</v>
      </c>
    </row>
    <row r="417" spans="1:14" s="889" customFormat="1" ht="14">
      <c r="A417" s="2773"/>
      <c r="B417" s="2756"/>
      <c r="C417" s="1101" t="s">
        <v>2553</v>
      </c>
      <c r="D417" s="1129">
        <f t="shared" si="236"/>
        <v>1</v>
      </c>
      <c r="E417" s="1122" t="s">
        <v>2627</v>
      </c>
      <c r="F417" s="1055">
        <f t="shared" si="237"/>
        <v>0</v>
      </c>
      <c r="G417" s="1071">
        <f t="shared" ref="G417:N417" si="239">ROUNDDOWN(G399*G413*$D417,0)</f>
        <v>0</v>
      </c>
      <c r="H417" s="1071">
        <f t="shared" si="239"/>
        <v>0</v>
      </c>
      <c r="I417" s="1071">
        <f t="shared" si="239"/>
        <v>0</v>
      </c>
      <c r="J417" s="1071">
        <f t="shared" si="239"/>
        <v>0</v>
      </c>
      <c r="K417" s="1071">
        <f t="shared" si="239"/>
        <v>0</v>
      </c>
      <c r="L417" s="1071">
        <f t="shared" si="239"/>
        <v>0</v>
      </c>
      <c r="M417" s="1071">
        <f t="shared" si="239"/>
        <v>0</v>
      </c>
      <c r="N417" s="1072">
        <f t="shared" si="239"/>
        <v>0</v>
      </c>
    </row>
    <row r="418" spans="1:14" s="889" customFormat="1" ht="14">
      <c r="A418" s="2773"/>
      <c r="B418" s="2757"/>
      <c r="C418" s="1101" t="s">
        <v>2554</v>
      </c>
      <c r="D418" s="1129">
        <f t="shared" si="236"/>
        <v>1</v>
      </c>
      <c r="E418" s="1122" t="s">
        <v>2627</v>
      </c>
      <c r="F418" s="1055">
        <f t="shared" si="237"/>
        <v>0</v>
      </c>
      <c r="G418" s="1071">
        <f t="shared" ref="G418:N418" si="240">ROUNDDOWN(G400*G415*$D418,0)</f>
        <v>0</v>
      </c>
      <c r="H418" s="1071">
        <f t="shared" si="240"/>
        <v>0</v>
      </c>
      <c r="I418" s="1071">
        <f t="shared" si="240"/>
        <v>0</v>
      </c>
      <c r="J418" s="1071">
        <f t="shared" si="240"/>
        <v>0</v>
      </c>
      <c r="K418" s="1071">
        <f t="shared" si="240"/>
        <v>0</v>
      </c>
      <c r="L418" s="1071">
        <f t="shared" si="240"/>
        <v>0</v>
      </c>
      <c r="M418" s="1071">
        <f t="shared" si="240"/>
        <v>0</v>
      </c>
      <c r="N418" s="1072">
        <f t="shared" si="240"/>
        <v>0</v>
      </c>
    </row>
    <row r="419" spans="1:14" s="889" customFormat="1" ht="14">
      <c r="A419" s="2773"/>
      <c r="B419" s="2758" t="s">
        <v>2534</v>
      </c>
      <c r="C419" s="1101" t="s">
        <v>2630</v>
      </c>
      <c r="D419" s="1129">
        <f t="shared" si="236"/>
        <v>1</v>
      </c>
      <c r="E419" s="1104">
        <f>+E401</f>
        <v>0.02</v>
      </c>
      <c r="F419" s="1055">
        <f t="shared" si="237"/>
        <v>0</v>
      </c>
      <c r="G419" s="1071">
        <f t="shared" ref="G419:N427" si="241">ROUNDDOWN(G401*$E419*$D419,0)</f>
        <v>0</v>
      </c>
      <c r="H419" s="1071">
        <f t="shared" si="241"/>
        <v>0</v>
      </c>
      <c r="I419" s="1071">
        <f t="shared" si="241"/>
        <v>0</v>
      </c>
      <c r="J419" s="1071">
        <f t="shared" si="241"/>
        <v>0</v>
      </c>
      <c r="K419" s="1071">
        <f t="shared" si="241"/>
        <v>0</v>
      </c>
      <c r="L419" s="1071">
        <f t="shared" si="241"/>
        <v>0</v>
      </c>
      <c r="M419" s="1071">
        <f t="shared" si="241"/>
        <v>0</v>
      </c>
      <c r="N419" s="1072">
        <f t="shared" si="241"/>
        <v>0</v>
      </c>
    </row>
    <row r="420" spans="1:14" s="889" customFormat="1" ht="14">
      <c r="A420" s="2773"/>
      <c r="B420" s="2756"/>
      <c r="C420" s="1101" t="s">
        <v>2636</v>
      </c>
      <c r="D420" s="1129">
        <f t="shared" si="236"/>
        <v>1</v>
      </c>
      <c r="E420" s="1104">
        <f>+E402</f>
        <v>0.02</v>
      </c>
      <c r="F420" s="1055">
        <f t="shared" si="237"/>
        <v>0</v>
      </c>
      <c r="G420" s="1071">
        <f t="shared" si="241"/>
        <v>0</v>
      </c>
      <c r="H420" s="1071">
        <f t="shared" si="241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1"/>
        <v>0</v>
      </c>
      <c r="L420" s="1071">
        <f t="shared" si="241"/>
        <v>0</v>
      </c>
      <c r="M420" s="1071">
        <f t="shared" si="241"/>
        <v>0</v>
      </c>
      <c r="N420" s="1072">
        <f t="shared" si="241"/>
        <v>0</v>
      </c>
    </row>
    <row r="421" spans="1:14" s="889" customFormat="1" ht="14">
      <c r="A421" s="2773"/>
      <c r="B421" s="2756"/>
      <c r="C421" s="1101" t="s">
        <v>2537</v>
      </c>
      <c r="D421" s="1129">
        <f t="shared" si="236"/>
        <v>1</v>
      </c>
      <c r="E421" s="1104">
        <f>+E403</f>
        <v>0.02</v>
      </c>
      <c r="F421" s="1055">
        <f t="shared" si="237"/>
        <v>134300</v>
      </c>
      <c r="G421" s="1071">
        <f t="shared" si="241"/>
        <v>95556</v>
      </c>
      <c r="H421" s="1071">
        <f t="shared" si="241"/>
        <v>0</v>
      </c>
      <c r="I421" s="1071">
        <f>ROUNDDOWN(I403*$E421*$D421,0)</f>
        <v>6827</v>
      </c>
      <c r="J421" s="1071">
        <f>ROUNDDOWN(J403*$E421*$D421,0)</f>
        <v>21953</v>
      </c>
      <c r="K421" s="1071">
        <f t="shared" si="241"/>
        <v>9964</v>
      </c>
      <c r="L421" s="1071">
        <f t="shared" si="241"/>
        <v>0</v>
      </c>
      <c r="M421" s="1071">
        <f t="shared" si="241"/>
        <v>0</v>
      </c>
      <c r="N421" s="1072">
        <f t="shared" si="241"/>
        <v>0</v>
      </c>
    </row>
    <row r="422" spans="1:14" s="889" customFormat="1" ht="14">
      <c r="A422" s="2773"/>
      <c r="B422" s="2756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9" customFormat="1" ht="14">
      <c r="A423" s="2773"/>
      <c r="B423" s="2756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9" customFormat="1" ht="14">
      <c r="A424" s="2773"/>
      <c r="B424" s="2756"/>
      <c r="C424" s="1101" t="s">
        <v>2540</v>
      </c>
      <c r="D424" s="1129">
        <f t="shared" ref="D424:E427" si="242">+D406</f>
        <v>1</v>
      </c>
      <c r="E424" s="1104">
        <f t="shared" si="242"/>
        <v>0.02</v>
      </c>
      <c r="F424" s="1055">
        <f t="shared" ref="F424:F432" si="243">SUM(G424:N424)</f>
        <v>0</v>
      </c>
      <c r="G424" s="1071">
        <f t="shared" ref="G424:J427" si="244">ROUNDDOWN(G406*$E424*$D424,0)</f>
        <v>0</v>
      </c>
      <c r="H424" s="1071">
        <f t="shared" si="244"/>
        <v>0</v>
      </c>
      <c r="I424" s="1071">
        <f t="shared" si="244"/>
        <v>0</v>
      </c>
      <c r="J424" s="1071">
        <f t="shared" si="244"/>
        <v>0</v>
      </c>
      <c r="K424" s="1071">
        <f t="shared" si="241"/>
        <v>0</v>
      </c>
      <c r="L424" s="1071">
        <f t="shared" si="241"/>
        <v>0</v>
      </c>
      <c r="M424" s="1071">
        <f t="shared" si="241"/>
        <v>0</v>
      </c>
      <c r="N424" s="1072">
        <f t="shared" si="241"/>
        <v>0</v>
      </c>
    </row>
    <row r="425" spans="1:14" s="889" customFormat="1" ht="14">
      <c r="A425" s="2773"/>
      <c r="B425" s="2756"/>
      <c r="C425" s="1105" t="s">
        <v>2541</v>
      </c>
      <c r="D425" s="1129">
        <f t="shared" si="242"/>
        <v>1</v>
      </c>
      <c r="E425" s="1104">
        <f t="shared" si="242"/>
        <v>0.02</v>
      </c>
      <c r="F425" s="1055">
        <f t="shared" si="243"/>
        <v>0</v>
      </c>
      <c r="G425" s="1071">
        <f t="shared" si="244"/>
        <v>0</v>
      </c>
      <c r="H425" s="1071">
        <f t="shared" si="244"/>
        <v>0</v>
      </c>
      <c r="I425" s="1071">
        <f t="shared" si="244"/>
        <v>0</v>
      </c>
      <c r="J425" s="1071">
        <f t="shared" si="244"/>
        <v>0</v>
      </c>
      <c r="K425" s="1071">
        <f t="shared" si="241"/>
        <v>0</v>
      </c>
      <c r="L425" s="1071">
        <f t="shared" si="241"/>
        <v>0</v>
      </c>
      <c r="M425" s="1071">
        <f t="shared" si="241"/>
        <v>0</v>
      </c>
      <c r="N425" s="1072">
        <f t="shared" si="241"/>
        <v>0</v>
      </c>
    </row>
    <row r="426" spans="1:14" s="889" customFormat="1" ht="14">
      <c r="A426" s="2773"/>
      <c r="B426" s="2756"/>
      <c r="C426" s="1105" t="s">
        <v>2619</v>
      </c>
      <c r="D426" s="1129">
        <f t="shared" si="242"/>
        <v>1</v>
      </c>
      <c r="E426" s="1104">
        <f t="shared" si="242"/>
        <v>0.02</v>
      </c>
      <c r="F426" s="1055">
        <f t="shared" si="243"/>
        <v>0</v>
      </c>
      <c r="G426" s="1071">
        <f t="shared" si="244"/>
        <v>0</v>
      </c>
      <c r="H426" s="1071">
        <f t="shared" si="244"/>
        <v>0</v>
      </c>
      <c r="I426" s="1071">
        <f t="shared" si="244"/>
        <v>0</v>
      </c>
      <c r="J426" s="1071">
        <f t="shared" si="244"/>
        <v>0</v>
      </c>
      <c r="K426" s="1071">
        <f t="shared" si="241"/>
        <v>0</v>
      </c>
      <c r="L426" s="1071">
        <f t="shared" si="241"/>
        <v>0</v>
      </c>
      <c r="M426" s="1071">
        <f t="shared" si="241"/>
        <v>0</v>
      </c>
      <c r="N426" s="1072">
        <f t="shared" si="241"/>
        <v>0</v>
      </c>
    </row>
    <row r="427" spans="1:14" s="889" customFormat="1" ht="14">
      <c r="A427" s="2773"/>
      <c r="B427" s="2757"/>
      <c r="C427" s="1101" t="s">
        <v>2649</v>
      </c>
      <c r="D427" s="1129">
        <f t="shared" si="242"/>
        <v>1</v>
      </c>
      <c r="E427" s="1104">
        <f t="shared" si="242"/>
        <v>0.02</v>
      </c>
      <c r="F427" s="1055">
        <f t="shared" si="243"/>
        <v>0</v>
      </c>
      <c r="G427" s="1071">
        <f t="shared" si="244"/>
        <v>0</v>
      </c>
      <c r="H427" s="1071">
        <f t="shared" si="244"/>
        <v>0</v>
      </c>
      <c r="I427" s="1071">
        <f t="shared" si="244"/>
        <v>0</v>
      </c>
      <c r="J427" s="1071">
        <f t="shared" si="244"/>
        <v>0</v>
      </c>
      <c r="K427" s="1071">
        <f t="shared" si="241"/>
        <v>0</v>
      </c>
      <c r="L427" s="1071">
        <f t="shared" si="241"/>
        <v>0</v>
      </c>
      <c r="M427" s="1071">
        <f t="shared" si="241"/>
        <v>0</v>
      </c>
      <c r="N427" s="1072">
        <f t="shared" si="241"/>
        <v>0</v>
      </c>
    </row>
    <row r="428" spans="1:14" s="889" customFormat="1" ht="14">
      <c r="A428" s="2773"/>
      <c r="B428" s="2794" t="s">
        <v>2650</v>
      </c>
      <c r="C428" s="1101" t="s">
        <v>2562</v>
      </c>
      <c r="D428" s="1147"/>
      <c r="E428" s="1148"/>
      <c r="F428" s="1055">
        <f t="shared" si="243"/>
        <v>0</v>
      </c>
      <c r="G428" s="1293">
        <f t="shared" ref="G428:N428" si="245">+G212+G59</f>
        <v>0</v>
      </c>
      <c r="H428" s="1293">
        <f t="shared" si="245"/>
        <v>0</v>
      </c>
      <c r="I428" s="1293">
        <f t="shared" si="245"/>
        <v>0</v>
      </c>
      <c r="J428" s="1293">
        <f t="shared" si="245"/>
        <v>0</v>
      </c>
      <c r="K428" s="1293">
        <f t="shared" si="245"/>
        <v>0</v>
      </c>
      <c r="L428" s="1293">
        <f t="shared" si="245"/>
        <v>0</v>
      </c>
      <c r="M428" s="1293">
        <f t="shared" si="245"/>
        <v>0</v>
      </c>
      <c r="N428" s="1294">
        <f t="shared" si="245"/>
        <v>0</v>
      </c>
    </row>
    <row r="429" spans="1:14" s="889" customFormat="1" ht="14">
      <c r="A429" s="2773"/>
      <c r="B429" s="2795"/>
      <c r="C429" s="1151" t="s">
        <v>2651</v>
      </c>
      <c r="D429" s="1147"/>
      <c r="E429" s="1148"/>
      <c r="F429" s="1055">
        <f t="shared" si="243"/>
        <v>0</v>
      </c>
      <c r="G429" s="905"/>
      <c r="H429" s="905"/>
      <c r="I429" s="905"/>
      <c r="J429" s="905"/>
      <c r="K429" s="905"/>
      <c r="L429" s="905"/>
      <c r="M429" s="905"/>
      <c r="N429" s="906"/>
    </row>
    <row r="430" spans="1:14" s="889" customFormat="1" ht="15" thickBot="1">
      <c r="A430" s="2777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243"/>
        <v>0</v>
      </c>
      <c r="G430" s="1071">
        <f t="shared" ref="G430:N430" si="246">ROUNDDOWN(G410*$E430*$D430,0)</f>
        <v>0</v>
      </c>
      <c r="H430" s="1071">
        <f t="shared" si="246"/>
        <v>0</v>
      </c>
      <c r="I430" s="1071">
        <f t="shared" si="246"/>
        <v>0</v>
      </c>
      <c r="J430" s="1071">
        <f t="shared" si="246"/>
        <v>0</v>
      </c>
      <c r="K430" s="1071">
        <f t="shared" si="246"/>
        <v>0</v>
      </c>
      <c r="L430" s="1071">
        <f t="shared" si="246"/>
        <v>0</v>
      </c>
      <c r="M430" s="1071">
        <f t="shared" si="246"/>
        <v>0</v>
      </c>
      <c r="N430" s="1153">
        <f t="shared" si="246"/>
        <v>0</v>
      </c>
    </row>
    <row r="431" spans="1:14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243"/>
        <v>20819158</v>
      </c>
      <c r="G431" s="1160">
        <f t="shared" ref="G431:N431" si="247">SUM(G416:G430)+G414</f>
        <v>3728791</v>
      </c>
      <c r="H431" s="1160">
        <f t="shared" si="247"/>
        <v>2234619</v>
      </c>
      <c r="I431" s="1160">
        <f t="shared" si="247"/>
        <v>219123</v>
      </c>
      <c r="J431" s="1160">
        <f t="shared" si="247"/>
        <v>13462213</v>
      </c>
      <c r="K431" s="1160">
        <f t="shared" si="247"/>
        <v>1174412</v>
      </c>
      <c r="L431" s="1160">
        <f t="shared" si="247"/>
        <v>0</v>
      </c>
      <c r="M431" s="1160">
        <f t="shared" si="247"/>
        <v>0</v>
      </c>
      <c r="N431" s="1161">
        <f t="shared" si="247"/>
        <v>0</v>
      </c>
    </row>
    <row r="432" spans="1:14" s="889" customFormat="1" ht="14">
      <c r="A432" s="1162"/>
      <c r="B432" s="1163"/>
      <c r="C432" s="1063" t="s">
        <v>2653</v>
      </c>
      <c r="D432" s="1164"/>
      <c r="E432" s="938"/>
      <c r="F432" s="939">
        <f t="shared" si="243"/>
        <v>205742712</v>
      </c>
      <c r="G432" s="1064">
        <f t="shared" ref="G432:N432" si="248">+G307+G431</f>
        <v>39189867</v>
      </c>
      <c r="H432" s="1064">
        <f t="shared" si="248"/>
        <v>24547039</v>
      </c>
      <c r="I432" s="1064">
        <f t="shared" si="248"/>
        <v>2350613</v>
      </c>
      <c r="J432" s="1064">
        <f t="shared" si="248"/>
        <v>128172535</v>
      </c>
      <c r="K432" s="1064">
        <f t="shared" si="248"/>
        <v>11482658</v>
      </c>
      <c r="L432" s="1064">
        <f t="shared" si="248"/>
        <v>0</v>
      </c>
      <c r="M432" s="1064">
        <f t="shared" si="248"/>
        <v>0</v>
      </c>
      <c r="N432" s="1065">
        <f t="shared" si="248"/>
        <v>0</v>
      </c>
    </row>
    <row r="433" spans="1:14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6" t="s">
        <v>2717</v>
      </c>
    </row>
    <row r="434" spans="1:14" s="889" customFormat="1" ht="14">
      <c r="A434" s="1285"/>
      <c r="B434" s="1286"/>
      <c r="C434" s="1286"/>
      <c r="D434" s="1286"/>
      <c r="E434" s="1286"/>
      <c r="F434" s="1034"/>
      <c r="G434" s="1037"/>
      <c r="H434" s="1037"/>
      <c r="I434" s="1037"/>
      <c r="J434" s="1037"/>
      <c r="K434" s="1037"/>
      <c r="L434" s="1037"/>
      <c r="M434" s="1037"/>
      <c r="N434" s="1307"/>
    </row>
    <row r="435" spans="1:14" s="889" customFormat="1" ht="14">
      <c r="A435" s="2778"/>
      <c r="B435" s="2779"/>
      <c r="C435" s="2780"/>
      <c r="D435" s="1166"/>
      <c r="E435" s="1082" t="s">
        <v>2656</v>
      </c>
      <c r="F435" s="1083" t="s">
        <v>2505</v>
      </c>
      <c r="G435" s="1084" t="str">
        <f t="shared" ref="G435:N435" si="249">+G302</f>
        <v>工事1</v>
      </c>
      <c r="H435" s="1084" t="str">
        <f t="shared" si="249"/>
        <v>工事2</v>
      </c>
      <c r="I435" s="1084" t="str">
        <f t="shared" si="249"/>
        <v>工事3</v>
      </c>
      <c r="J435" s="1084" t="str">
        <f t="shared" si="249"/>
        <v>工事4</v>
      </c>
      <c r="K435" s="1084" t="str">
        <f t="shared" si="249"/>
        <v>工事5</v>
      </c>
      <c r="L435" s="1084">
        <f t="shared" si="249"/>
        <v>0</v>
      </c>
      <c r="M435" s="1084">
        <f t="shared" si="249"/>
        <v>0</v>
      </c>
      <c r="N435" s="1085">
        <f t="shared" si="249"/>
        <v>0</v>
      </c>
    </row>
    <row r="436" spans="1:14" s="889" customFormat="1" ht="15" thickBot="1">
      <c r="A436" s="2781"/>
      <c r="B436" s="2782"/>
      <c r="C436" s="2783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9" customFormat="1" ht="15" thickBot="1">
      <c r="A437" s="1171"/>
      <c r="B437" s="1172"/>
      <c r="C437" s="1173" t="s">
        <v>2657</v>
      </c>
      <c r="D437" s="1174"/>
      <c r="E437" s="1175"/>
      <c r="F437" s="1176">
        <f>SUM(G437:N437)</f>
        <v>205742712</v>
      </c>
      <c r="G437" s="1177">
        <f t="shared" ref="G437:N437" si="250">IF(G438="",+G432,0)</f>
        <v>39189867</v>
      </c>
      <c r="H437" s="1177">
        <f t="shared" si="250"/>
        <v>24547039</v>
      </c>
      <c r="I437" s="1177">
        <f t="shared" si="250"/>
        <v>2350613</v>
      </c>
      <c r="J437" s="1177">
        <f t="shared" si="250"/>
        <v>128172535</v>
      </c>
      <c r="K437" s="1177">
        <f t="shared" si="250"/>
        <v>11482658</v>
      </c>
      <c r="L437" s="1177">
        <f t="shared" si="250"/>
        <v>0</v>
      </c>
      <c r="M437" s="1177">
        <f t="shared" si="250"/>
        <v>0</v>
      </c>
      <c r="N437" s="1178">
        <f t="shared" si="250"/>
        <v>0</v>
      </c>
    </row>
    <row r="438" spans="1:14" s="889" customFormat="1" ht="14">
      <c r="A438" s="1285"/>
      <c r="B438" s="1286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N438" si="251">IF(H460=0,"",H432)</f>
        <v/>
      </c>
      <c r="I438" s="919" t="str">
        <f t="shared" si="251"/>
        <v/>
      </c>
      <c r="J438" s="919" t="str">
        <f t="shared" si="251"/>
        <v/>
      </c>
      <c r="K438" s="919" t="str">
        <f t="shared" si="251"/>
        <v/>
      </c>
      <c r="L438" s="919" t="str">
        <f t="shared" si="251"/>
        <v/>
      </c>
      <c r="M438" s="919" t="str">
        <f t="shared" si="251"/>
        <v/>
      </c>
      <c r="N438" s="1182" t="str">
        <f t="shared" si="251"/>
        <v/>
      </c>
    </row>
    <row r="439" spans="1:14" s="889" customFormat="1" ht="14">
      <c r="A439" s="1162"/>
      <c r="B439" s="1163"/>
      <c r="C439" s="2784" t="s">
        <v>2659</v>
      </c>
      <c r="D439" s="2784"/>
      <c r="E439" s="2785"/>
      <c r="F439" s="939">
        <f>F437+F438-F447</f>
        <v>205742712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9" customFormat="1" ht="14">
      <c r="A440" s="870"/>
      <c r="B440" s="871"/>
      <c r="C440" s="871"/>
      <c r="D440" s="1183"/>
      <c r="E440" s="874" t="str">
        <f>E302</f>
        <v>無し</v>
      </c>
      <c r="F440" s="2786" t="s">
        <v>2660</v>
      </c>
      <c r="G440" s="2787"/>
      <c r="H440" s="1068"/>
      <c r="I440" s="1068"/>
      <c r="J440" s="1068"/>
      <c r="K440" s="1068"/>
      <c r="L440" s="1068"/>
      <c r="M440" s="1068"/>
      <c r="N440" s="1069"/>
    </row>
    <row r="441" spans="1:14" s="889" customFormat="1" ht="14">
      <c r="A441" s="2788" t="s">
        <v>2661</v>
      </c>
      <c r="B441" s="2789"/>
      <c r="C441" s="2790"/>
      <c r="D441" s="1184"/>
      <c r="E441" s="1185" t="str">
        <f>+E303</f>
        <v>有り</v>
      </c>
      <c r="F441" s="2791" t="s">
        <v>2662</v>
      </c>
      <c r="G441" s="2792"/>
      <c r="H441" s="1064"/>
      <c r="I441" s="1064"/>
      <c r="J441" s="1064"/>
      <c r="K441" s="1064"/>
      <c r="L441" s="1064"/>
      <c r="M441" s="1064"/>
      <c r="N441" s="1065"/>
    </row>
    <row r="442" spans="1:14" s="889" customFormat="1" ht="14">
      <c r="A442" s="2793"/>
      <c r="B442" s="1186" t="s">
        <v>161</v>
      </c>
      <c r="C442" s="1187" t="s">
        <v>2663</v>
      </c>
      <c r="D442" s="1188">
        <v>1</v>
      </c>
      <c r="E442" s="1189">
        <f>+G511/100</f>
        <v>0.12119999999999999</v>
      </c>
      <c r="F442" s="900">
        <f>SUM(G442:N442)</f>
        <v>205742712</v>
      </c>
      <c r="G442" s="1068">
        <f t="shared" ref="G442:N442" si="252">+G437-G447</f>
        <v>39189867</v>
      </c>
      <c r="H442" s="1068">
        <f t="shared" si="252"/>
        <v>24547039</v>
      </c>
      <c r="I442" s="1068">
        <f>+I437-I447</f>
        <v>2350613</v>
      </c>
      <c r="J442" s="1068">
        <f t="shared" si="252"/>
        <v>128172535</v>
      </c>
      <c r="K442" s="1068">
        <f t="shared" si="252"/>
        <v>11482658</v>
      </c>
      <c r="L442" s="1068">
        <f t="shared" si="252"/>
        <v>0</v>
      </c>
      <c r="M442" s="1068">
        <f t="shared" si="252"/>
        <v>0</v>
      </c>
      <c r="N442" s="1069">
        <f t="shared" si="252"/>
        <v>0</v>
      </c>
    </row>
    <row r="443" spans="1:14" s="889" customFormat="1" ht="14">
      <c r="A443" s="2753"/>
      <c r="B443" s="2758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0.12119999999999999</v>
      </c>
      <c r="F443" s="904">
        <f>SUM(G443:N443)</f>
        <v>205742712</v>
      </c>
      <c r="G443" s="905">
        <f>IF(G460=0,+G442,0)</f>
        <v>39189867</v>
      </c>
      <c r="H443" s="905">
        <f>IF(H460=0,+H442,0)</f>
        <v>24547039</v>
      </c>
      <c r="I443" s="905">
        <f t="shared" ref="I443:N443" si="253">IF(I460=0,+I442,0)</f>
        <v>2350613</v>
      </c>
      <c r="J443" s="905">
        <f t="shared" si="253"/>
        <v>128172535</v>
      </c>
      <c r="K443" s="905">
        <f t="shared" si="253"/>
        <v>11482658</v>
      </c>
      <c r="L443" s="905">
        <f t="shared" si="253"/>
        <v>0</v>
      </c>
      <c r="M443" s="905">
        <f t="shared" si="253"/>
        <v>0</v>
      </c>
      <c r="N443" s="906">
        <f t="shared" si="253"/>
        <v>0</v>
      </c>
    </row>
    <row r="444" spans="1:14" s="889" customFormat="1" ht="14">
      <c r="A444" s="2753"/>
      <c r="B444" s="2757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SUM(G444:N444)</f>
        <v>205742712</v>
      </c>
      <c r="G444" s="905">
        <f>IF(G460=0,+G442,0)</f>
        <v>39189867</v>
      </c>
      <c r="H444" s="905">
        <f t="shared" ref="H444:N444" si="254">IF(H460=0,+H442,0)</f>
        <v>24547039</v>
      </c>
      <c r="I444" s="905">
        <f t="shared" si="254"/>
        <v>2350613</v>
      </c>
      <c r="J444" s="905">
        <f t="shared" si="254"/>
        <v>128172535</v>
      </c>
      <c r="K444" s="905">
        <f t="shared" si="254"/>
        <v>11482658</v>
      </c>
      <c r="L444" s="905">
        <f t="shared" si="254"/>
        <v>0</v>
      </c>
      <c r="M444" s="905">
        <f t="shared" si="254"/>
        <v>0</v>
      </c>
      <c r="N444" s="906">
        <f t="shared" si="254"/>
        <v>0</v>
      </c>
    </row>
    <row r="445" spans="1:14" s="889" customFormat="1" ht="14">
      <c r="A445" s="2753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6"/>
    </row>
    <row r="446" spans="1:14" s="889" customFormat="1" ht="14">
      <c r="A446" s="2753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6"/>
    </row>
    <row r="447" spans="1:14" s="889" customFormat="1" ht="14">
      <c r="A447" s="2753"/>
      <c r="B447" s="2758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SUM(G447:N447)</f>
        <v>0</v>
      </c>
      <c r="G447" s="905">
        <f t="shared" ref="G447:N447" si="255">+G352</f>
        <v>0</v>
      </c>
      <c r="H447" s="905">
        <f t="shared" si="255"/>
        <v>0</v>
      </c>
      <c r="I447" s="905">
        <f t="shared" si="255"/>
        <v>0</v>
      </c>
      <c r="J447" s="905">
        <f t="shared" si="255"/>
        <v>0</v>
      </c>
      <c r="K447" s="905">
        <f t="shared" si="255"/>
        <v>0</v>
      </c>
      <c r="L447" s="905">
        <f t="shared" si="255"/>
        <v>0</v>
      </c>
      <c r="M447" s="905">
        <f t="shared" si="255"/>
        <v>0</v>
      </c>
      <c r="N447" s="906">
        <f t="shared" si="255"/>
        <v>0</v>
      </c>
    </row>
    <row r="448" spans="1:14" s="889" customFormat="1" ht="14">
      <c r="A448" s="2753"/>
      <c r="B448" s="2756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6"/>
    </row>
    <row r="449" spans="1:14" s="889" customFormat="1" ht="14">
      <c r="A449" s="2754"/>
      <c r="B449" s="2759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9" customFormat="1" ht="14">
      <c r="A451" s="2788" t="s">
        <v>2668</v>
      </c>
      <c r="B451" s="2789"/>
      <c r="C451" s="2790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9" customFormat="1" ht="14">
      <c r="A452" s="1285"/>
      <c r="B452" s="1204" t="s">
        <v>161</v>
      </c>
      <c r="C452" s="1187" t="s">
        <v>2663</v>
      </c>
      <c r="D452" s="1188">
        <f t="shared" ref="D452:E454" si="256">+D442</f>
        <v>1</v>
      </c>
      <c r="E452" s="1205">
        <f>+E442</f>
        <v>0.12119999999999999</v>
      </c>
      <c r="F452" s="904">
        <f>INT(D452*E452*F442)</f>
        <v>24936016</v>
      </c>
      <c r="G452" s="1068">
        <f>F452-SUM(H452:N452)</f>
        <v>4749812</v>
      </c>
      <c r="H452" s="1068">
        <f>IF(H442=0,0,ROUND($F452/$F442*H442,0))</f>
        <v>2975101</v>
      </c>
      <c r="I452" s="1068">
        <f t="shared" ref="I452:N452" si="257">IF(I442=0,0,ROUND($F452/$F442*I442,0))</f>
        <v>284894</v>
      </c>
      <c r="J452" s="1068">
        <f t="shared" si="257"/>
        <v>15534511</v>
      </c>
      <c r="K452" s="1068">
        <f t="shared" si="257"/>
        <v>1391698</v>
      </c>
      <c r="L452" s="1068">
        <f t="shared" si="257"/>
        <v>0</v>
      </c>
      <c r="M452" s="1068">
        <f t="shared" si="257"/>
        <v>0</v>
      </c>
      <c r="N452" s="1069">
        <f t="shared" si="257"/>
        <v>0</v>
      </c>
    </row>
    <row r="453" spans="1:14" s="889" customFormat="1" ht="14">
      <c r="A453" s="1285"/>
      <c r="B453" s="2758" t="s">
        <v>2664</v>
      </c>
      <c r="C453" s="903" t="s">
        <v>2665</v>
      </c>
      <c r="D453" s="1193">
        <f t="shared" si="256"/>
        <v>0.05</v>
      </c>
      <c r="E453" s="1104">
        <f t="shared" si="256"/>
        <v>0.12119999999999999</v>
      </c>
      <c r="F453" s="904">
        <f>INT(D453*E453*F443)</f>
        <v>1246800</v>
      </c>
      <c r="G453" s="905">
        <f>F453-SUM(H453:N453)</f>
        <v>237490</v>
      </c>
      <c r="H453" s="905">
        <f t="shared" ref="H453:N454" si="258">IF(H443=0,0,ROUND($F453/$F443*H443,0))</f>
        <v>148755</v>
      </c>
      <c r="I453" s="905">
        <f t="shared" si="258"/>
        <v>14245</v>
      </c>
      <c r="J453" s="905">
        <f t="shared" si="258"/>
        <v>776725</v>
      </c>
      <c r="K453" s="905">
        <f t="shared" si="258"/>
        <v>69585</v>
      </c>
      <c r="L453" s="905">
        <f t="shared" si="258"/>
        <v>0</v>
      </c>
      <c r="M453" s="905">
        <f t="shared" si="258"/>
        <v>0</v>
      </c>
      <c r="N453" s="906">
        <f t="shared" si="258"/>
        <v>0</v>
      </c>
    </row>
    <row r="454" spans="1:14" s="889" customFormat="1" ht="14">
      <c r="A454" s="1285"/>
      <c r="B454" s="2757"/>
      <c r="C454" s="903" t="s">
        <v>2666</v>
      </c>
      <c r="D454" s="1193">
        <f t="shared" si="256"/>
        <v>1</v>
      </c>
      <c r="E454" s="1104">
        <f t="shared" si="256"/>
        <v>4.0000000000000002E-4</v>
      </c>
      <c r="F454" s="904">
        <f>INT(D454*E454*F444)</f>
        <v>82297</v>
      </c>
      <c r="G454" s="905">
        <f>F454-SUM(H454:N454)</f>
        <v>15676</v>
      </c>
      <c r="H454" s="905">
        <f>IF(H444=0,0,ROUND($F454/$F444*H444,0))</f>
        <v>9819</v>
      </c>
      <c r="I454" s="905">
        <f t="shared" si="258"/>
        <v>940</v>
      </c>
      <c r="J454" s="905">
        <f t="shared" si="258"/>
        <v>51269</v>
      </c>
      <c r="K454" s="905">
        <f t="shared" si="258"/>
        <v>4593</v>
      </c>
      <c r="L454" s="905">
        <f t="shared" si="258"/>
        <v>0</v>
      </c>
      <c r="M454" s="905">
        <f t="shared" si="258"/>
        <v>0</v>
      </c>
      <c r="N454" s="906">
        <f t="shared" si="258"/>
        <v>0</v>
      </c>
    </row>
    <row r="455" spans="1:14" s="889" customFormat="1" ht="14">
      <c r="A455" s="1285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6"/>
    </row>
    <row r="456" spans="1:14" s="889" customFormat="1" ht="14">
      <c r="A456" s="1285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6"/>
    </row>
    <row r="457" spans="1:14" s="889" customFormat="1" ht="14">
      <c r="A457" s="1285"/>
      <c r="B457" s="2758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F457-SUM(H457:N457)</f>
        <v>0</v>
      </c>
      <c r="H457" s="905">
        <f t="shared" ref="H457:N457" si="259">IF(H447=0,0,ROUND($F457/$F447*H447,0))</f>
        <v>0</v>
      </c>
      <c r="I457" s="905">
        <f t="shared" si="259"/>
        <v>0</v>
      </c>
      <c r="J457" s="905">
        <f t="shared" si="259"/>
        <v>0</v>
      </c>
      <c r="K457" s="905">
        <f t="shared" si="259"/>
        <v>0</v>
      </c>
      <c r="L457" s="905">
        <f t="shared" si="259"/>
        <v>0</v>
      </c>
      <c r="M457" s="905">
        <f t="shared" si="259"/>
        <v>0</v>
      </c>
      <c r="N457" s="906">
        <f t="shared" si="259"/>
        <v>0</v>
      </c>
    </row>
    <row r="458" spans="1:14" s="889" customFormat="1" ht="14">
      <c r="A458" s="1285"/>
      <c r="B458" s="2756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6"/>
    </row>
    <row r="459" spans="1:14" s="889" customFormat="1" ht="14">
      <c r="A459" s="1206"/>
      <c r="B459" s="2757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6"/>
    </row>
    <row r="460" spans="1:14" s="889" customFormat="1" ht="14">
      <c r="A460" s="1206"/>
      <c r="B460" s="2794" t="s">
        <v>2650</v>
      </c>
      <c r="C460" s="1120" t="s">
        <v>2669</v>
      </c>
      <c r="D460" s="1207"/>
      <c r="E460" s="1208"/>
      <c r="F460" s="1209">
        <f>SUM(G460:N460)</f>
        <v>0</v>
      </c>
      <c r="G460" s="1308">
        <f t="shared" ref="G460:N460" si="260">+G245+G68</f>
        <v>0</v>
      </c>
      <c r="H460" s="1308">
        <f t="shared" si="260"/>
        <v>0</v>
      </c>
      <c r="I460" s="1308">
        <f t="shared" si="260"/>
        <v>0</v>
      </c>
      <c r="J460" s="1308">
        <f t="shared" si="260"/>
        <v>0</v>
      </c>
      <c r="K460" s="1308">
        <f t="shared" si="260"/>
        <v>0</v>
      </c>
      <c r="L460" s="1308">
        <f t="shared" si="260"/>
        <v>0</v>
      </c>
      <c r="M460" s="1308">
        <f t="shared" si="260"/>
        <v>0</v>
      </c>
      <c r="N460" s="1309">
        <f t="shared" si="260"/>
        <v>0</v>
      </c>
    </row>
    <row r="461" spans="1:14" s="889" customFormat="1" ht="14">
      <c r="A461" s="1285"/>
      <c r="B461" s="2810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6"/>
    </row>
    <row r="462" spans="1:14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9" customFormat="1" ht="14">
      <c r="A463" s="1213"/>
      <c r="B463" s="1073"/>
      <c r="C463" s="698" t="s">
        <v>2672</v>
      </c>
      <c r="D463" s="1195"/>
      <c r="E463" s="903"/>
      <c r="F463" s="904">
        <f>SUM(G463:N463)</f>
        <v>26265113</v>
      </c>
      <c r="G463" s="905">
        <f>SUM(G452:G461)</f>
        <v>5002978</v>
      </c>
      <c r="H463" s="905">
        <f t="shared" ref="H463:N463" si="261">SUM(H452:H461)</f>
        <v>3133675</v>
      </c>
      <c r="I463" s="905">
        <f t="shared" si="261"/>
        <v>300079</v>
      </c>
      <c r="J463" s="905">
        <f t="shared" si="261"/>
        <v>16362505</v>
      </c>
      <c r="K463" s="905">
        <f t="shared" si="261"/>
        <v>1465876</v>
      </c>
      <c r="L463" s="905">
        <f t="shared" si="261"/>
        <v>0</v>
      </c>
      <c r="M463" s="905">
        <f t="shared" si="261"/>
        <v>0</v>
      </c>
      <c r="N463" s="906">
        <f t="shared" si="261"/>
        <v>0</v>
      </c>
    </row>
    <row r="464" spans="1:14" s="889" customFormat="1" ht="14">
      <c r="A464" s="1213"/>
      <c r="B464" s="1073"/>
      <c r="C464" s="698" t="s">
        <v>2653</v>
      </c>
      <c r="D464" s="1195"/>
      <c r="E464" s="903"/>
      <c r="F464" s="904">
        <f>SUM(G464:N464)</f>
        <v>205742712</v>
      </c>
      <c r="G464" s="905">
        <f t="shared" ref="G464:N464" si="262">+G432</f>
        <v>39189867</v>
      </c>
      <c r="H464" s="905">
        <f t="shared" si="262"/>
        <v>24547039</v>
      </c>
      <c r="I464" s="905">
        <f t="shared" si="262"/>
        <v>2350613</v>
      </c>
      <c r="J464" s="905">
        <f t="shared" si="262"/>
        <v>128172535</v>
      </c>
      <c r="K464" s="905">
        <f t="shared" si="262"/>
        <v>11482658</v>
      </c>
      <c r="L464" s="905">
        <f t="shared" si="262"/>
        <v>0</v>
      </c>
      <c r="M464" s="905">
        <f t="shared" si="262"/>
        <v>0</v>
      </c>
      <c r="N464" s="906">
        <f t="shared" si="262"/>
        <v>0</v>
      </c>
    </row>
    <row r="465" spans="1:14" s="889" customFormat="1" ht="15" thickBot="1">
      <c r="A465" s="1214"/>
      <c r="B465" s="1215"/>
      <c r="C465" s="1216" t="s">
        <v>2673</v>
      </c>
      <c r="D465" s="1217"/>
      <c r="E465" s="1218"/>
      <c r="F465" s="1135">
        <f>SUM(G465:N465)</f>
        <v>232007825</v>
      </c>
      <c r="G465" s="1219">
        <f t="shared" ref="G465:N465" si="263">SUM(G463:G464)</f>
        <v>44192845</v>
      </c>
      <c r="H465" s="1219">
        <f t="shared" si="263"/>
        <v>27680714</v>
      </c>
      <c r="I465" s="1219">
        <f t="shared" si="263"/>
        <v>2650692</v>
      </c>
      <c r="J465" s="1219">
        <f t="shared" si="263"/>
        <v>144535040</v>
      </c>
      <c r="K465" s="1219">
        <f t="shared" si="263"/>
        <v>12948534</v>
      </c>
      <c r="L465" s="1219">
        <f t="shared" si="263"/>
        <v>0</v>
      </c>
      <c r="M465" s="1219">
        <f t="shared" si="263"/>
        <v>0</v>
      </c>
      <c r="N465" s="1220">
        <f t="shared" si="263"/>
        <v>0</v>
      </c>
    </row>
    <row r="466" spans="1:14" s="889" customFormat="1" ht="15" thickTop="1">
      <c r="A466" s="1285"/>
      <c r="B466" s="1286"/>
      <c r="C466" s="1286"/>
      <c r="D466" s="918"/>
      <c r="E466" s="918"/>
      <c r="F466" s="919"/>
      <c r="G466" s="1221">
        <f t="shared" ref="G466:N466" si="264">ROUNDDOWN(G465,-3)</f>
        <v>44192000</v>
      </c>
      <c r="H466" s="1221">
        <f t="shared" si="264"/>
        <v>27680000</v>
      </c>
      <c r="I466" s="1221">
        <f t="shared" si="264"/>
        <v>2650000</v>
      </c>
      <c r="J466" s="1221">
        <f t="shared" si="264"/>
        <v>144535000</v>
      </c>
      <c r="K466" s="1221">
        <f t="shared" si="264"/>
        <v>12948000</v>
      </c>
      <c r="L466" s="1221">
        <f t="shared" si="264"/>
        <v>0</v>
      </c>
      <c r="M466" s="1221">
        <f t="shared" si="264"/>
        <v>0</v>
      </c>
      <c r="N466" s="1222">
        <f t="shared" si="264"/>
        <v>0</v>
      </c>
    </row>
    <row r="467" spans="1:14" s="889" customFormat="1" ht="14">
      <c r="A467" s="1213"/>
      <c r="B467" s="1073"/>
      <c r="C467" s="698" t="s">
        <v>2653</v>
      </c>
      <c r="D467" s="1195"/>
      <c r="E467" s="903"/>
      <c r="F467" s="904">
        <f>SUM(G467:N467)</f>
        <v>205742712</v>
      </c>
      <c r="G467" s="905">
        <f>+G464</f>
        <v>39189867</v>
      </c>
      <c r="H467" s="905">
        <f t="shared" ref="H467:N467" si="265">+H464</f>
        <v>24547039</v>
      </c>
      <c r="I467" s="905">
        <f t="shared" si="265"/>
        <v>2350613</v>
      </c>
      <c r="J467" s="905">
        <f t="shared" si="265"/>
        <v>128172535</v>
      </c>
      <c r="K467" s="905">
        <f t="shared" si="265"/>
        <v>11482658</v>
      </c>
      <c r="L467" s="905">
        <f t="shared" si="265"/>
        <v>0</v>
      </c>
      <c r="M467" s="905">
        <f t="shared" si="265"/>
        <v>0</v>
      </c>
      <c r="N467" s="906">
        <f t="shared" si="265"/>
        <v>0</v>
      </c>
    </row>
    <row r="468" spans="1:14" s="889" customFormat="1" ht="14">
      <c r="A468" s="1213"/>
      <c r="B468" s="1073"/>
      <c r="C468" s="698" t="s">
        <v>2674</v>
      </c>
      <c r="D468" s="1195"/>
      <c r="E468" s="1192"/>
      <c r="F468" s="904">
        <f>SUM(G468:N468)</f>
        <v>26257288</v>
      </c>
      <c r="G468" s="905">
        <f>+G463-(G465-G470)</f>
        <v>5001133</v>
      </c>
      <c r="H468" s="905">
        <f t="shared" ref="H468:N468" si="266">+H463-(H465-H470)</f>
        <v>3131961</v>
      </c>
      <c r="I468" s="905">
        <f t="shared" si="266"/>
        <v>299387</v>
      </c>
      <c r="J468" s="905">
        <f t="shared" si="266"/>
        <v>16359465</v>
      </c>
      <c r="K468" s="905">
        <f t="shared" si="266"/>
        <v>1465342</v>
      </c>
      <c r="L468" s="905">
        <f t="shared" si="266"/>
        <v>0</v>
      </c>
      <c r="M468" s="905">
        <f t="shared" si="266"/>
        <v>0</v>
      </c>
      <c r="N468" s="906">
        <f t="shared" si="266"/>
        <v>0</v>
      </c>
    </row>
    <row r="469" spans="1:14" s="889" customFormat="1" ht="14">
      <c r="A469" s="1213"/>
      <c r="B469" s="1073"/>
      <c r="C469" s="1073"/>
      <c r="D469" s="903"/>
      <c r="E469" s="1223">
        <f>SUM(G466:N466)</f>
        <v>232005000</v>
      </c>
      <c r="F469" s="904" t="s">
        <v>2675</v>
      </c>
      <c r="G469" s="905">
        <f t="shared" ref="G469:N469" si="267">+G463-G468</f>
        <v>1845</v>
      </c>
      <c r="H469" s="905">
        <f t="shared" si="267"/>
        <v>1714</v>
      </c>
      <c r="I469" s="905">
        <f t="shared" si="267"/>
        <v>692</v>
      </c>
      <c r="J469" s="905">
        <f t="shared" si="267"/>
        <v>3040</v>
      </c>
      <c r="K469" s="905">
        <f t="shared" si="267"/>
        <v>534</v>
      </c>
      <c r="L469" s="905">
        <f t="shared" si="267"/>
        <v>0</v>
      </c>
      <c r="M469" s="1224">
        <f t="shared" si="267"/>
        <v>0</v>
      </c>
      <c r="N469" s="1225">
        <f t="shared" si="267"/>
        <v>0</v>
      </c>
    </row>
    <row r="470" spans="1:14" s="889" customFormat="1" ht="14">
      <c r="A470" s="1226"/>
      <c r="B470" s="1054"/>
      <c r="C470" s="1054" t="s">
        <v>2676</v>
      </c>
      <c r="D470" s="1227"/>
      <c r="E470" s="1223">
        <f>ROUNDDOWN(E469,4-LEN(E469))</f>
        <v>232000000</v>
      </c>
      <c r="F470" s="1228">
        <f>+E470</f>
        <v>232000000</v>
      </c>
      <c r="G470" s="1224">
        <f>IF(F471+SUM(H470:N470)=F470,F471,F470-SUM(H470:N470))</f>
        <v>44191000</v>
      </c>
      <c r="H470" s="1224">
        <f>IF(H460=0,+H466-ROUND($E$471*H465/$F$465,-3),H465)</f>
        <v>27679000</v>
      </c>
      <c r="I470" s="1224">
        <f t="shared" ref="I470:N470" si="268">IF(I460=0,+I466-ROUND($E$471*I465/$F$465,-3),I465)</f>
        <v>2650000</v>
      </c>
      <c r="J470" s="1224">
        <f t="shared" si="268"/>
        <v>144532000</v>
      </c>
      <c r="K470" s="1224">
        <f t="shared" si="268"/>
        <v>12948000</v>
      </c>
      <c r="L470" s="1224">
        <f t="shared" si="268"/>
        <v>0</v>
      </c>
      <c r="M470" s="1224">
        <f t="shared" si="268"/>
        <v>0</v>
      </c>
      <c r="N470" s="1225">
        <f t="shared" si="268"/>
        <v>0</v>
      </c>
    </row>
    <row r="471" spans="1:14" s="889" customFormat="1" ht="14">
      <c r="A471" s="1229"/>
      <c r="B471" s="1230"/>
      <c r="C471" s="1230"/>
      <c r="D471" s="1231"/>
      <c r="E471" s="1232">
        <f>E469-E470</f>
        <v>5000</v>
      </c>
      <c r="F471" s="1233">
        <f>+G466-ROUND($E$471*G465/$F$465,-3)</f>
        <v>44191000</v>
      </c>
      <c r="G471" s="1232">
        <f t="shared" ref="G471:N471" si="269">IF(LEN(G465)&lt;=7,-3,IF(LEN(G465)=8,-4,IF(LEN(G465)&gt;=9,-5,-6)))</f>
        <v>-4</v>
      </c>
      <c r="H471" s="1232">
        <f t="shared" si="269"/>
        <v>-4</v>
      </c>
      <c r="I471" s="1232">
        <f t="shared" si="269"/>
        <v>-3</v>
      </c>
      <c r="J471" s="1232">
        <f t="shared" si="269"/>
        <v>-5</v>
      </c>
      <c r="K471" s="1232">
        <f t="shared" si="269"/>
        <v>-4</v>
      </c>
      <c r="L471" s="1232">
        <f t="shared" si="269"/>
        <v>-3</v>
      </c>
      <c r="M471" s="1232">
        <f t="shared" si="269"/>
        <v>-3</v>
      </c>
      <c r="N471" s="1234">
        <f t="shared" si="269"/>
        <v>-3</v>
      </c>
    </row>
    <row r="472" spans="1:14" ht="15" thickBot="1">
      <c r="F472" s="1310"/>
      <c r="G472" s="1311"/>
    </row>
    <row r="473" spans="1:14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N473" si="270">+G300</f>
        <v>16.600000000000001</v>
      </c>
      <c r="H473" s="1243">
        <f t="shared" si="270"/>
        <v>11</v>
      </c>
      <c r="I473" s="1243">
        <f t="shared" si="270"/>
        <v>16.600000000000001</v>
      </c>
      <c r="J473" s="1243">
        <f t="shared" si="270"/>
        <v>16.600000000000001</v>
      </c>
      <c r="K473" s="1243">
        <f t="shared" si="270"/>
        <v>16.600000000000001</v>
      </c>
      <c r="L473" s="1243">
        <f t="shared" si="270"/>
        <v>0</v>
      </c>
      <c r="M473" s="1243">
        <f t="shared" si="270"/>
        <v>0</v>
      </c>
      <c r="N473" s="1244">
        <f t="shared" si="270"/>
        <v>0</v>
      </c>
    </row>
    <row r="474" spans="1:14" s="889" customFormat="1" ht="14">
      <c r="A474" s="2802"/>
      <c r="B474" s="2805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3.9</v>
      </c>
      <c r="H474" s="1248">
        <f t="shared" ref="H474:N474" si="271">IF($F357&lt;=10000000,ROUND(7.56*(10000^-0.1105)*(H473^0.2389),2),ROUND(7.56*(($F357/1000)^-0.1105)*(H473^0.2389),2))</f>
        <v>3.54</v>
      </c>
      <c r="I474" s="1248">
        <f t="shared" si="271"/>
        <v>3.9</v>
      </c>
      <c r="J474" s="1248">
        <f t="shared" si="271"/>
        <v>3.9</v>
      </c>
      <c r="K474" s="1248">
        <f t="shared" si="271"/>
        <v>3.9</v>
      </c>
      <c r="L474" s="1248">
        <f t="shared" si="271"/>
        <v>0</v>
      </c>
      <c r="M474" s="1248">
        <f t="shared" si="271"/>
        <v>0</v>
      </c>
      <c r="N474" s="1317">
        <f t="shared" si="271"/>
        <v>0</v>
      </c>
    </row>
    <row r="475" spans="1:14" s="889" customFormat="1" ht="14">
      <c r="A475" s="2803"/>
      <c r="B475" s="2806"/>
      <c r="C475" s="2808" t="s">
        <v>2682</v>
      </c>
      <c r="D475" s="1124"/>
      <c r="E475" s="1249"/>
      <c r="F475" s="1247" t="s">
        <v>2683</v>
      </c>
      <c r="G475" s="1250">
        <f>IF($F357&lt;=10000000,ROUND(4.33,2),0)</f>
        <v>0</v>
      </c>
      <c r="H475" s="1250">
        <f t="shared" ref="H475:N475" si="272">IF($F357&lt;=10000000,ROUND(4.33,2),0)</f>
        <v>0</v>
      </c>
      <c r="I475" s="1250">
        <f t="shared" si="272"/>
        <v>0</v>
      </c>
      <c r="J475" s="1250">
        <f t="shared" si="272"/>
        <v>0</v>
      </c>
      <c r="K475" s="1250">
        <f t="shared" si="272"/>
        <v>0</v>
      </c>
      <c r="L475" s="1250">
        <f t="shared" si="272"/>
        <v>0</v>
      </c>
      <c r="M475" s="1250">
        <f t="shared" si="272"/>
        <v>0</v>
      </c>
      <c r="N475" s="1318">
        <f t="shared" si="272"/>
        <v>0</v>
      </c>
    </row>
    <row r="476" spans="1:14" s="889" customFormat="1" ht="13.5" customHeight="1">
      <c r="A476" s="2803"/>
      <c r="B476" s="2806"/>
      <c r="C476" s="2809"/>
      <c r="D476" s="1251"/>
      <c r="E476" s="1252"/>
      <c r="F476" s="1247" t="s">
        <v>2684</v>
      </c>
      <c r="G476" s="1250">
        <f>IF($F357&lt;=10000000,ROUND(3.25,2),0)</f>
        <v>0</v>
      </c>
      <c r="H476" s="1250">
        <f t="shared" ref="H476:N476" si="273">IF($F357&lt;=10000000,ROUND(3.25,2),0)</f>
        <v>0</v>
      </c>
      <c r="I476" s="1250">
        <f t="shared" si="273"/>
        <v>0</v>
      </c>
      <c r="J476" s="1250">
        <f t="shared" si="273"/>
        <v>0</v>
      </c>
      <c r="K476" s="1250">
        <f t="shared" si="273"/>
        <v>0</v>
      </c>
      <c r="L476" s="1250">
        <f t="shared" si="273"/>
        <v>0</v>
      </c>
      <c r="M476" s="1250">
        <f t="shared" si="273"/>
        <v>0</v>
      </c>
      <c r="N476" s="1318">
        <f t="shared" si="273"/>
        <v>0</v>
      </c>
    </row>
    <row r="477" spans="1:14" s="889" customFormat="1" ht="14">
      <c r="A477" s="2803"/>
      <c r="B477" s="2806"/>
      <c r="C477" s="2808" t="s">
        <v>2685</v>
      </c>
      <c r="D477" s="1124"/>
      <c r="E477" s="1249"/>
      <c r="F477" s="1247" t="s">
        <v>2683</v>
      </c>
      <c r="G477" s="1253">
        <f>IF($F357&gt;10000000,ROUND(5.78*($F357/1000)^-0.0313,2),0)</f>
        <v>3.96</v>
      </c>
      <c r="H477" s="1253">
        <f t="shared" ref="H477:N477" si="274">IF($F357&gt;10000000,ROUND(5.78*($F357/1000)^-0.0313,2),0)</f>
        <v>3.96</v>
      </c>
      <c r="I477" s="1253">
        <f t="shared" si="274"/>
        <v>3.96</v>
      </c>
      <c r="J477" s="1253">
        <f t="shared" si="274"/>
        <v>3.96</v>
      </c>
      <c r="K477" s="1253">
        <f t="shared" si="274"/>
        <v>3.96</v>
      </c>
      <c r="L477" s="1253">
        <f t="shared" si="274"/>
        <v>3.96</v>
      </c>
      <c r="M477" s="1253">
        <f t="shared" si="274"/>
        <v>3.96</v>
      </c>
      <c r="N477" s="1319">
        <f t="shared" si="274"/>
        <v>3.96</v>
      </c>
    </row>
    <row r="478" spans="1:14" s="889" customFormat="1" ht="13.5" customHeight="1">
      <c r="A478" s="2804"/>
      <c r="B478" s="2807"/>
      <c r="C478" s="2809"/>
      <c r="D478" s="1251"/>
      <c r="E478" s="1252"/>
      <c r="F478" s="1247" t="s">
        <v>2684</v>
      </c>
      <c r="G478" s="1253">
        <f>IF($F357&gt;10000000,ROUND(4.34*($F357/1000)^-0.0313,2),0)</f>
        <v>2.98</v>
      </c>
      <c r="H478" s="1253">
        <f t="shared" ref="H478:N478" si="275">IF($F357&gt;10000000,ROUND(4.34*($F357/1000)^-0.0313,2),0)</f>
        <v>2.98</v>
      </c>
      <c r="I478" s="1253">
        <f t="shared" si="275"/>
        <v>2.98</v>
      </c>
      <c r="J478" s="1253">
        <f t="shared" si="275"/>
        <v>2.98</v>
      </c>
      <c r="K478" s="1253">
        <f t="shared" si="275"/>
        <v>2.98</v>
      </c>
      <c r="L478" s="1253">
        <f t="shared" si="275"/>
        <v>2.98</v>
      </c>
      <c r="M478" s="1253">
        <f t="shared" si="275"/>
        <v>2.98</v>
      </c>
      <c r="N478" s="1319">
        <f t="shared" si="275"/>
        <v>2.98</v>
      </c>
    </row>
    <row r="479" spans="1:14" s="889" customFormat="1" ht="13.5" customHeight="1">
      <c r="A479" s="2796" t="s">
        <v>2686</v>
      </c>
      <c r="B479" s="2797"/>
      <c r="C479" s="2797"/>
      <c r="D479" s="2797"/>
      <c r="E479" s="2797"/>
      <c r="F479" s="2798"/>
      <c r="G479" s="1253">
        <f>IF($F357&lt;=10000000,IF(G$474&gt;G$475,G$475,IF(G$474&lt;G$476,G$476,G$474)),IF(G$474&gt;G$477,G$477,IF(G$474&lt;G$478,G$478,G$474)))</f>
        <v>3.9</v>
      </c>
      <c r="H479" s="1253">
        <f t="shared" ref="H479:N479" si="276">IF($F357&lt;=10000000,IF(H$474&gt;H$475,H$475,IF(H$474&lt;H$476,H$476,H$474)),IF(H$474&gt;H$477,H$477,IF(H$474&lt;H$478,H$478,H$474)))</f>
        <v>3.54</v>
      </c>
      <c r="I479" s="1253">
        <f t="shared" si="276"/>
        <v>3.9</v>
      </c>
      <c r="J479" s="1253">
        <f t="shared" si="276"/>
        <v>3.9</v>
      </c>
      <c r="K479" s="1253">
        <f t="shared" si="276"/>
        <v>3.9</v>
      </c>
      <c r="L479" s="1253">
        <f t="shared" si="276"/>
        <v>2.98</v>
      </c>
      <c r="M479" s="1253">
        <f t="shared" si="276"/>
        <v>2.98</v>
      </c>
      <c r="N479" s="1319">
        <f t="shared" si="276"/>
        <v>2.98</v>
      </c>
    </row>
    <row r="480" spans="1:14" s="889" customFormat="1" ht="15" thickBot="1">
      <c r="A480" s="2799" t="s">
        <v>2687</v>
      </c>
      <c r="B480" s="2800"/>
      <c r="C480" s="2800"/>
      <c r="D480" s="2800"/>
      <c r="E480" s="2800"/>
      <c r="F480" s="2801"/>
      <c r="G480" s="1259">
        <f>ROUND(G479*IF(AND(G305="駅施設",G306="無し"),0.7,IF(AND(G305="駅施設",G306="有り"),0.7,IF(AND(G305="地上建物",G306="無し"),0.9,IF(AND(G305="地上建物",G306="有り"),1,0)))),2)</f>
        <v>2.73</v>
      </c>
      <c r="H480" s="1259">
        <f t="shared" ref="H480:N480" si="277">ROUND(H479*IF(AND(H305="駅施設",H306="無し"),0.7,IF(AND(H305="駅施設",H306="有り"),0.7,IF(AND(H305="地上建物",H306="無し"),0.9,IF(AND(H305="地上建物",H306="有り"),1,0)))),2)</f>
        <v>2.48</v>
      </c>
      <c r="I480" s="1259">
        <f t="shared" si="277"/>
        <v>2.73</v>
      </c>
      <c r="J480" s="1259">
        <f t="shared" si="277"/>
        <v>2.73</v>
      </c>
      <c r="K480" s="1259">
        <f t="shared" si="277"/>
        <v>2.73</v>
      </c>
      <c r="L480" s="1259">
        <f t="shared" si="277"/>
        <v>2.09</v>
      </c>
      <c r="M480" s="1259">
        <f t="shared" si="277"/>
        <v>2.09</v>
      </c>
      <c r="N480" s="1259">
        <f t="shared" si="277"/>
        <v>2.09</v>
      </c>
    </row>
    <row r="481" spans="1:14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N482" si="278">+G300</f>
        <v>16.600000000000001</v>
      </c>
      <c r="H482" s="1243">
        <f t="shared" si="278"/>
        <v>11</v>
      </c>
      <c r="I482" s="1243">
        <f t="shared" si="278"/>
        <v>16.600000000000001</v>
      </c>
      <c r="J482" s="1243">
        <f t="shared" si="278"/>
        <v>16.600000000000001</v>
      </c>
      <c r="K482" s="1243">
        <f t="shared" si="278"/>
        <v>16.600000000000001</v>
      </c>
      <c r="L482" s="1243">
        <f t="shared" si="278"/>
        <v>0</v>
      </c>
      <c r="M482" s="1243">
        <f t="shared" si="278"/>
        <v>0</v>
      </c>
      <c r="N482" s="1244">
        <f t="shared" si="278"/>
        <v>0</v>
      </c>
    </row>
    <row r="483" spans="1:14" s="889" customFormat="1" ht="14">
      <c r="A483" s="2802"/>
      <c r="B483" s="2805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4.83</v>
      </c>
      <c r="H483" s="1248">
        <f t="shared" ref="H483:N483" si="279">IF($F357&lt;=5000000,ROUND(18.03*(5000^-0.2027)*(H482^0.4017),2),ROUND(18.03*(($F357/1000)^-0.2027)*(H482^0.4017),2))</f>
        <v>4.0999999999999996</v>
      </c>
      <c r="I483" s="1248">
        <f t="shared" si="279"/>
        <v>4.83</v>
      </c>
      <c r="J483" s="1248">
        <f t="shared" si="279"/>
        <v>4.83</v>
      </c>
      <c r="K483" s="1248">
        <f t="shared" si="279"/>
        <v>4.83</v>
      </c>
      <c r="L483" s="1248">
        <f t="shared" si="279"/>
        <v>0</v>
      </c>
      <c r="M483" s="1248">
        <f t="shared" si="279"/>
        <v>0</v>
      </c>
      <c r="N483" s="1317">
        <f t="shared" si="279"/>
        <v>0</v>
      </c>
    </row>
    <row r="484" spans="1:14" s="889" customFormat="1" ht="14">
      <c r="A484" s="2803"/>
      <c r="B484" s="2806"/>
      <c r="C484" s="2808" t="s">
        <v>2690</v>
      </c>
      <c r="D484" s="1124"/>
      <c r="E484" s="1249"/>
      <c r="F484" s="1247" t="s">
        <v>2683</v>
      </c>
      <c r="G484" s="1250">
        <f>IF($F357&lt;=5000000,ROUND(6.07,2),0)</f>
        <v>0</v>
      </c>
      <c r="H484" s="1250">
        <f t="shared" ref="H484:N484" si="280">IF($F357&lt;=5000000,ROUND(6.07,2),0)</f>
        <v>0</v>
      </c>
      <c r="I484" s="1250">
        <f t="shared" si="280"/>
        <v>0</v>
      </c>
      <c r="J484" s="1250">
        <f t="shared" si="280"/>
        <v>0</v>
      </c>
      <c r="K484" s="1250">
        <f t="shared" si="280"/>
        <v>0</v>
      </c>
      <c r="L484" s="1250">
        <f t="shared" si="280"/>
        <v>0</v>
      </c>
      <c r="M484" s="1250">
        <f t="shared" si="280"/>
        <v>0</v>
      </c>
      <c r="N484" s="1318">
        <f t="shared" si="280"/>
        <v>0</v>
      </c>
    </row>
    <row r="485" spans="1:14" s="889" customFormat="1" ht="13.5" customHeight="1">
      <c r="A485" s="2803"/>
      <c r="B485" s="2806"/>
      <c r="C485" s="2809"/>
      <c r="D485" s="1251"/>
      <c r="E485" s="1252"/>
      <c r="F485" s="1247" t="s">
        <v>2684</v>
      </c>
      <c r="G485" s="1250">
        <f>IF($F357&lt;=5000000,ROUND(3.59,2),0)</f>
        <v>0</v>
      </c>
      <c r="H485" s="1250">
        <f t="shared" ref="H485:N485" si="281">IF($F357&lt;=5000000,ROUND(3.59,2),0)</f>
        <v>0</v>
      </c>
      <c r="I485" s="1250">
        <f t="shared" si="281"/>
        <v>0</v>
      </c>
      <c r="J485" s="1250">
        <f t="shared" si="281"/>
        <v>0</v>
      </c>
      <c r="K485" s="1250">
        <f t="shared" si="281"/>
        <v>0</v>
      </c>
      <c r="L485" s="1250">
        <f t="shared" si="281"/>
        <v>0</v>
      </c>
      <c r="M485" s="1250">
        <f t="shared" si="281"/>
        <v>0</v>
      </c>
      <c r="N485" s="1318">
        <f t="shared" si="281"/>
        <v>0</v>
      </c>
    </row>
    <row r="486" spans="1:14" s="889" customFormat="1" ht="14">
      <c r="A486" s="2803"/>
      <c r="B486" s="2806"/>
      <c r="C486" s="2808" t="s">
        <v>2691</v>
      </c>
      <c r="D486" s="1124"/>
      <c r="E486" s="1249"/>
      <c r="F486" s="1247" t="s">
        <v>2683</v>
      </c>
      <c r="G486" s="1253">
        <f>IF($F357&gt;5000000,ROUND(11.74*($F357/1000)^-0.0774,2),0)</f>
        <v>4.62</v>
      </c>
      <c r="H486" s="1253">
        <f t="shared" ref="H486:N486" si="282">IF($F357&gt;5000000,ROUND(11.74*($F357/1000)^-0.0774,2),0)</f>
        <v>4.62</v>
      </c>
      <c r="I486" s="1253">
        <f t="shared" si="282"/>
        <v>4.62</v>
      </c>
      <c r="J486" s="1253">
        <f t="shared" si="282"/>
        <v>4.62</v>
      </c>
      <c r="K486" s="1253">
        <f t="shared" si="282"/>
        <v>4.62</v>
      </c>
      <c r="L486" s="1253">
        <f t="shared" si="282"/>
        <v>4.62</v>
      </c>
      <c r="M486" s="1253">
        <f t="shared" si="282"/>
        <v>4.62</v>
      </c>
      <c r="N486" s="1319">
        <f t="shared" si="282"/>
        <v>4.62</v>
      </c>
    </row>
    <row r="487" spans="1:14" s="889" customFormat="1" ht="13.5" customHeight="1">
      <c r="A487" s="2804"/>
      <c r="B487" s="2807"/>
      <c r="C487" s="2809"/>
      <c r="D487" s="1251"/>
      <c r="E487" s="1252"/>
      <c r="F487" s="1247" t="s">
        <v>2684</v>
      </c>
      <c r="G487" s="1253">
        <f>IF($F357&gt;5000000,ROUND(6.94*($F357/1000)^-0.0774,2),0)</f>
        <v>2.73</v>
      </c>
      <c r="H487" s="1253">
        <f t="shared" ref="H487:N487" si="283">IF($F357&gt;5000000,ROUND(6.94*($F357/1000)^-0.0774,2),0)</f>
        <v>2.73</v>
      </c>
      <c r="I487" s="1253">
        <f t="shared" si="283"/>
        <v>2.73</v>
      </c>
      <c r="J487" s="1253">
        <f t="shared" si="283"/>
        <v>2.73</v>
      </c>
      <c r="K487" s="1253">
        <f t="shared" si="283"/>
        <v>2.73</v>
      </c>
      <c r="L487" s="1253">
        <f t="shared" si="283"/>
        <v>2.73</v>
      </c>
      <c r="M487" s="1253">
        <f t="shared" si="283"/>
        <v>2.73</v>
      </c>
      <c r="N487" s="1319">
        <f t="shared" si="283"/>
        <v>2.73</v>
      </c>
    </row>
    <row r="488" spans="1:14" s="889" customFormat="1" ht="13.5" customHeight="1">
      <c r="A488" s="2796" t="s">
        <v>2686</v>
      </c>
      <c r="B488" s="2797"/>
      <c r="C488" s="2797"/>
      <c r="D488" s="2797"/>
      <c r="E488" s="2797"/>
      <c r="F488" s="2798"/>
      <c r="G488" s="1256">
        <f>IF($F357&lt;=5000000,IF(G$483&gt;G$484,G$484,IF(G$483&lt;G$485,G$485,G$483)),IF(G$483&gt;G$486,G$486,IF(G$483&lt;G$487,G$487,G$483)))</f>
        <v>4.62</v>
      </c>
      <c r="H488" s="1256">
        <f t="shared" ref="H488:N488" si="284">IF($F357&lt;=5000000,IF(H$483&gt;H$484,H$484,IF(H$483&lt;H$485,H$485,H$483)),IF(H$483&gt;H$486,H$486,IF(H$483&lt;H$487,H$487,H$483)))</f>
        <v>4.0999999999999996</v>
      </c>
      <c r="I488" s="1256">
        <f t="shared" si="284"/>
        <v>4.62</v>
      </c>
      <c r="J488" s="1256">
        <f t="shared" si="284"/>
        <v>4.62</v>
      </c>
      <c r="K488" s="1256">
        <f t="shared" si="284"/>
        <v>4.62</v>
      </c>
      <c r="L488" s="1256">
        <f t="shared" si="284"/>
        <v>2.73</v>
      </c>
      <c r="M488" s="1256">
        <f t="shared" si="284"/>
        <v>2.73</v>
      </c>
      <c r="N488" s="1320">
        <f t="shared" si="284"/>
        <v>2.73</v>
      </c>
    </row>
    <row r="489" spans="1:14" s="889" customFormat="1" ht="15" thickBot="1">
      <c r="A489" s="2799" t="s">
        <v>2687</v>
      </c>
      <c r="B489" s="2800"/>
      <c r="C489" s="2800"/>
      <c r="D489" s="2800"/>
      <c r="E489" s="2800"/>
      <c r="F489" s="2801"/>
      <c r="G489" s="1259">
        <f>ROUND(G488*IF(AND(G305="駅施設",G306="無し"),0.7,IF(AND(G305="駅施設",G306="有り"),0.7,IF(AND(G305="地上建物",G306="無し"),0.9,IF(AND(G305="地上建物",G306="有り"),1,0)))),2)</f>
        <v>3.23</v>
      </c>
      <c r="H489" s="1259">
        <f t="shared" ref="H489:N489" si="285">ROUND(H488*IF(AND(H305="駅施設",H306="無し"),0.7,IF(AND(H305="駅施設",H306="有り"),0.7,IF(AND(H305="地上建物",H306="無し"),0.9,IF(AND(H305="地上建物",H306="有り"),1,0)))),2)</f>
        <v>2.87</v>
      </c>
      <c r="I489" s="1259">
        <f t="shared" si="285"/>
        <v>3.23</v>
      </c>
      <c r="J489" s="1259">
        <f t="shared" si="285"/>
        <v>3.23</v>
      </c>
      <c r="K489" s="1259">
        <f t="shared" si="285"/>
        <v>3.23</v>
      </c>
      <c r="L489" s="1259">
        <f t="shared" si="285"/>
        <v>1.91</v>
      </c>
      <c r="M489" s="1259">
        <f t="shared" si="285"/>
        <v>1.91</v>
      </c>
      <c r="N489" s="1259">
        <f t="shared" si="285"/>
        <v>1.91</v>
      </c>
    </row>
    <row r="490" spans="1:14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N491" si="286">+G499</f>
        <v>16.600000000000001</v>
      </c>
      <c r="H491" s="1243">
        <f t="shared" si="286"/>
        <v>11</v>
      </c>
      <c r="I491" s="1243">
        <f t="shared" si="286"/>
        <v>16.600000000000001</v>
      </c>
      <c r="J491" s="1243">
        <f t="shared" si="286"/>
        <v>16.600000000000001</v>
      </c>
      <c r="K491" s="1243">
        <f t="shared" si="286"/>
        <v>16.600000000000001</v>
      </c>
      <c r="L491" s="1243">
        <f t="shared" si="286"/>
        <v>0</v>
      </c>
      <c r="M491" s="1243">
        <f t="shared" si="286"/>
        <v>0</v>
      </c>
      <c r="N491" s="1244">
        <f t="shared" si="286"/>
        <v>0</v>
      </c>
    </row>
    <row r="492" spans="1:14" s="889" customFormat="1" ht="14">
      <c r="A492" s="2802"/>
      <c r="B492" s="2805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12.76</v>
      </c>
      <c r="H492" s="1248">
        <f t="shared" ref="H492:N492" si="287">IF($F396&lt;=10000000,ROUND(151.08*((10000)^-0.3396)*(H491^0.586),2),ROUND(151.08*(($F396/1000)^-0.3396)*(H491^0.586),2))</f>
        <v>10.029999999999999</v>
      </c>
      <c r="I492" s="1248">
        <f t="shared" si="287"/>
        <v>12.76</v>
      </c>
      <c r="J492" s="1248">
        <f t="shared" si="287"/>
        <v>12.76</v>
      </c>
      <c r="K492" s="1248">
        <f t="shared" si="287"/>
        <v>12.76</v>
      </c>
      <c r="L492" s="1248">
        <f t="shared" si="287"/>
        <v>0</v>
      </c>
      <c r="M492" s="1248">
        <f t="shared" si="287"/>
        <v>0</v>
      </c>
      <c r="N492" s="1317">
        <f t="shared" si="287"/>
        <v>0</v>
      </c>
    </row>
    <row r="493" spans="1:14" s="889" customFormat="1" ht="14">
      <c r="A493" s="2803"/>
      <c r="B493" s="2806"/>
      <c r="C493" s="2808" t="s">
        <v>2695</v>
      </c>
      <c r="D493" s="1124"/>
      <c r="E493" s="1249"/>
      <c r="F493" s="1247" t="s">
        <v>2683</v>
      </c>
      <c r="G493" s="1250">
        <f>IF($F396&lt;=10000000,ROUND(20.13,2),0)</f>
        <v>0</v>
      </c>
      <c r="H493" s="1250">
        <f t="shared" ref="H493:N493" si="288">IF($F396&lt;=10000000,ROUND(20.13,2),0)</f>
        <v>0</v>
      </c>
      <c r="I493" s="1250">
        <f t="shared" si="288"/>
        <v>0</v>
      </c>
      <c r="J493" s="1250">
        <f t="shared" si="288"/>
        <v>0</v>
      </c>
      <c r="K493" s="1250">
        <f t="shared" si="288"/>
        <v>0</v>
      </c>
      <c r="L493" s="1250">
        <f t="shared" si="288"/>
        <v>0</v>
      </c>
      <c r="M493" s="1250">
        <f t="shared" si="288"/>
        <v>0</v>
      </c>
      <c r="N493" s="1318">
        <f t="shared" si="288"/>
        <v>0</v>
      </c>
    </row>
    <row r="494" spans="1:14" s="889" customFormat="1" ht="13.5" customHeight="1">
      <c r="A494" s="2803"/>
      <c r="B494" s="2806"/>
      <c r="C494" s="2809"/>
      <c r="D494" s="1251"/>
      <c r="E494" s="1252"/>
      <c r="F494" s="1247" t="s">
        <v>2684</v>
      </c>
      <c r="G494" s="1250">
        <f>IF($F396&lt;=10000000,ROUND(10.01,2),0)</f>
        <v>0</v>
      </c>
      <c r="H494" s="1250">
        <f t="shared" ref="H494:N494" si="289">IF($F396&lt;=10000000,ROUND(10.01,2),0)</f>
        <v>0</v>
      </c>
      <c r="I494" s="1250">
        <f t="shared" si="289"/>
        <v>0</v>
      </c>
      <c r="J494" s="1250">
        <f t="shared" si="289"/>
        <v>0</v>
      </c>
      <c r="K494" s="1250">
        <f t="shared" si="289"/>
        <v>0</v>
      </c>
      <c r="L494" s="1250">
        <f t="shared" si="289"/>
        <v>0</v>
      </c>
      <c r="M494" s="1250">
        <f t="shared" si="289"/>
        <v>0</v>
      </c>
      <c r="N494" s="1318">
        <f t="shared" si="289"/>
        <v>0</v>
      </c>
    </row>
    <row r="495" spans="1:14" s="889" customFormat="1" ht="14">
      <c r="A495" s="2803"/>
      <c r="B495" s="2806"/>
      <c r="C495" s="2808" t="s">
        <v>2696</v>
      </c>
      <c r="D495" s="1124"/>
      <c r="E495" s="1249"/>
      <c r="F495" s="1247" t="s">
        <v>2683</v>
      </c>
      <c r="G495" s="1253">
        <f>IF($F396&gt;10000000,ROUND(75.97*($F396/1000)^-0.1442,2),0)</f>
        <v>13.22</v>
      </c>
      <c r="H495" s="1253">
        <f t="shared" ref="H495:N495" si="290">IF($F396&gt;10000000,ROUND(75.97*($F396/1000)^-0.1442,2),0)</f>
        <v>13.22</v>
      </c>
      <c r="I495" s="1253">
        <f t="shared" si="290"/>
        <v>13.22</v>
      </c>
      <c r="J495" s="1253">
        <f t="shared" si="290"/>
        <v>13.22</v>
      </c>
      <c r="K495" s="1253">
        <f t="shared" si="290"/>
        <v>13.22</v>
      </c>
      <c r="L495" s="1253">
        <f t="shared" si="290"/>
        <v>13.22</v>
      </c>
      <c r="M495" s="1253">
        <f t="shared" si="290"/>
        <v>13.22</v>
      </c>
      <c r="N495" s="1319">
        <f t="shared" si="290"/>
        <v>13.22</v>
      </c>
    </row>
    <row r="496" spans="1:14" s="889" customFormat="1" ht="13.5" customHeight="1">
      <c r="A496" s="2804"/>
      <c r="B496" s="2807"/>
      <c r="C496" s="2809"/>
      <c r="D496" s="1251"/>
      <c r="E496" s="1252"/>
      <c r="F496" s="1247" t="s">
        <v>2684</v>
      </c>
      <c r="G496" s="1253">
        <f>IF($F396&gt;10000000,ROUND(37.76*($F396/1000)^-0.1442,2),0)</f>
        <v>6.57</v>
      </c>
      <c r="H496" s="1253">
        <f t="shared" ref="H496:N496" si="291">IF($F396&gt;10000000,ROUND(37.76*($F396/1000)^-0.1442,2),0)</f>
        <v>6.57</v>
      </c>
      <c r="I496" s="1253">
        <f t="shared" si="291"/>
        <v>6.57</v>
      </c>
      <c r="J496" s="1253">
        <f t="shared" si="291"/>
        <v>6.57</v>
      </c>
      <c r="K496" s="1253">
        <f t="shared" si="291"/>
        <v>6.57</v>
      </c>
      <c r="L496" s="1253">
        <f t="shared" si="291"/>
        <v>6.57</v>
      </c>
      <c r="M496" s="1253">
        <f t="shared" si="291"/>
        <v>6.57</v>
      </c>
      <c r="N496" s="1319">
        <f t="shared" si="291"/>
        <v>6.57</v>
      </c>
    </row>
    <row r="497" spans="1:14" s="889" customFormat="1" ht="15" thickBot="1">
      <c r="A497" s="2811" t="s">
        <v>2697</v>
      </c>
      <c r="B497" s="2812"/>
      <c r="C497" s="2812"/>
      <c r="D497" s="2812"/>
      <c r="E497" s="1257"/>
      <c r="F497" s="1258"/>
      <c r="G497" s="1259">
        <f>IF($F396&lt;=10000000,IF(G$492&gt;G$493,G$493,IF(G$492&lt;G$494,G$494,G$492)),IF(G$492&gt;G$495,G$495,IF(G$492&lt;G$496,G$496,G$492)))</f>
        <v>12.76</v>
      </c>
      <c r="H497" s="1259">
        <f t="shared" ref="H497:N497" si="292">IF($F396&lt;=10000000,IF(H$492&gt;H$493,H$493,IF(H$492&lt;H$494,H$494,H$492)),IF(H$492&gt;H$495,H$495,IF(H$492&lt;H$496,H$496,H$492)))</f>
        <v>10.029999999999999</v>
      </c>
      <c r="I497" s="1259">
        <f t="shared" si="292"/>
        <v>12.76</v>
      </c>
      <c r="J497" s="1259">
        <f t="shared" si="292"/>
        <v>12.76</v>
      </c>
      <c r="K497" s="1259">
        <f t="shared" si="292"/>
        <v>12.76</v>
      </c>
      <c r="L497" s="1259">
        <f t="shared" si="292"/>
        <v>6.57</v>
      </c>
      <c r="M497" s="1259">
        <f t="shared" si="292"/>
        <v>6.57</v>
      </c>
      <c r="N497" s="1321">
        <f t="shared" si="292"/>
        <v>6.57</v>
      </c>
    </row>
    <row r="498" spans="1:14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N499" si="293">+G300</f>
        <v>16.600000000000001</v>
      </c>
      <c r="H499" s="1243">
        <f t="shared" si="293"/>
        <v>11</v>
      </c>
      <c r="I499" s="1243">
        <f t="shared" si="293"/>
        <v>16.600000000000001</v>
      </c>
      <c r="J499" s="1243">
        <f t="shared" si="293"/>
        <v>16.600000000000001</v>
      </c>
      <c r="K499" s="1243">
        <f t="shared" si="293"/>
        <v>16.600000000000001</v>
      </c>
      <c r="L499" s="1243">
        <f t="shared" si="293"/>
        <v>0</v>
      </c>
      <c r="M499" s="1243">
        <f t="shared" si="293"/>
        <v>0</v>
      </c>
      <c r="N499" s="1244">
        <f t="shared" si="293"/>
        <v>0</v>
      </c>
    </row>
    <row r="500" spans="1:14" s="889" customFormat="1" ht="14">
      <c r="A500" s="2802"/>
      <c r="B500" s="2805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12.71</v>
      </c>
      <c r="H500" s="1248">
        <f t="shared" ref="H500:N500" si="294">IF($F396&lt;=5000000,ROUND(356.2*((5000)^-0.4085)*(H499^0.5766),2),ROUND(356.2*(($F396/1000)^-0.4085)*(H499^0.5766),2))</f>
        <v>10.02</v>
      </c>
      <c r="I500" s="1248">
        <f t="shared" si="294"/>
        <v>12.71</v>
      </c>
      <c r="J500" s="1248">
        <f t="shared" si="294"/>
        <v>12.71</v>
      </c>
      <c r="K500" s="1248">
        <f t="shared" si="294"/>
        <v>12.71</v>
      </c>
      <c r="L500" s="1248">
        <f t="shared" si="294"/>
        <v>0</v>
      </c>
      <c r="M500" s="1248">
        <f t="shared" si="294"/>
        <v>0</v>
      </c>
      <c r="N500" s="1317">
        <f t="shared" si="294"/>
        <v>0</v>
      </c>
    </row>
    <row r="501" spans="1:14" s="889" customFormat="1" ht="14">
      <c r="A501" s="2803"/>
      <c r="B501" s="2806"/>
      <c r="C501" s="2808" t="s">
        <v>2698</v>
      </c>
      <c r="D501" s="1124"/>
      <c r="E501" s="1249"/>
      <c r="F501" s="1247" t="s">
        <v>2683</v>
      </c>
      <c r="G501" s="1250">
        <f>IF($F396&lt;=5000000,ROUND(26.86,2),0)</f>
        <v>0</v>
      </c>
      <c r="H501" s="1250">
        <f t="shared" ref="H501:N501" si="295">IF($F396&lt;=5000000,ROUND(26.86,2),0)</f>
        <v>0</v>
      </c>
      <c r="I501" s="1250">
        <f t="shared" si="295"/>
        <v>0</v>
      </c>
      <c r="J501" s="1250">
        <f t="shared" si="295"/>
        <v>0</v>
      </c>
      <c r="K501" s="1250">
        <f t="shared" si="295"/>
        <v>0</v>
      </c>
      <c r="L501" s="1250">
        <f t="shared" si="295"/>
        <v>0</v>
      </c>
      <c r="M501" s="1250">
        <f t="shared" si="295"/>
        <v>0</v>
      </c>
      <c r="N501" s="1318">
        <f t="shared" si="295"/>
        <v>0</v>
      </c>
    </row>
    <row r="502" spans="1:14" s="889" customFormat="1" ht="13.5" customHeight="1">
      <c r="A502" s="2803"/>
      <c r="B502" s="2806"/>
      <c r="C502" s="2809"/>
      <c r="D502" s="1251"/>
      <c r="E502" s="1252"/>
      <c r="F502" s="1247" t="s">
        <v>2684</v>
      </c>
      <c r="G502" s="1250">
        <f>IF($F396&lt;=5000000,ROUND(12.7,2),0)</f>
        <v>0</v>
      </c>
      <c r="H502" s="1250">
        <f t="shared" ref="H502:N502" si="296">IF($F396&lt;=5000000,ROUND(12.7,2),0)</f>
        <v>0</v>
      </c>
      <c r="I502" s="1250">
        <f t="shared" si="296"/>
        <v>0</v>
      </c>
      <c r="J502" s="1250">
        <f t="shared" si="296"/>
        <v>0</v>
      </c>
      <c r="K502" s="1250">
        <f t="shared" si="296"/>
        <v>0</v>
      </c>
      <c r="L502" s="1250">
        <f t="shared" si="296"/>
        <v>0</v>
      </c>
      <c r="M502" s="1250">
        <f t="shared" si="296"/>
        <v>0</v>
      </c>
      <c r="N502" s="1318">
        <f t="shared" si="296"/>
        <v>0</v>
      </c>
    </row>
    <row r="503" spans="1:14" s="889" customFormat="1" ht="14">
      <c r="A503" s="2803"/>
      <c r="B503" s="2806"/>
      <c r="C503" s="2808" t="s">
        <v>2699</v>
      </c>
      <c r="D503" s="1124"/>
      <c r="E503" s="1249"/>
      <c r="F503" s="1247" t="s">
        <v>2683</v>
      </c>
      <c r="G503" s="1253">
        <f>IF($F396&gt;5000000,ROUND(184.58*($F396/1000)^-0.2263,2),0)</f>
        <v>11.87</v>
      </c>
      <c r="H503" s="1253">
        <f t="shared" ref="H503:N503" si="297">IF($F396&gt;5000000,ROUND(184.58*($F396/1000)^-0.2263,2),0)</f>
        <v>11.87</v>
      </c>
      <c r="I503" s="1253">
        <f t="shared" si="297"/>
        <v>11.87</v>
      </c>
      <c r="J503" s="1253">
        <f t="shared" si="297"/>
        <v>11.87</v>
      </c>
      <c r="K503" s="1253">
        <f t="shared" si="297"/>
        <v>11.87</v>
      </c>
      <c r="L503" s="1253">
        <f t="shared" si="297"/>
        <v>11.87</v>
      </c>
      <c r="M503" s="1253">
        <f t="shared" si="297"/>
        <v>11.87</v>
      </c>
      <c r="N503" s="1319">
        <f t="shared" si="297"/>
        <v>11.87</v>
      </c>
    </row>
    <row r="504" spans="1:14" s="889" customFormat="1" ht="13.5" customHeight="1">
      <c r="A504" s="2804"/>
      <c r="B504" s="2807"/>
      <c r="C504" s="2809"/>
      <c r="D504" s="1251"/>
      <c r="E504" s="1252"/>
      <c r="F504" s="1247" t="s">
        <v>2684</v>
      </c>
      <c r="G504" s="1253">
        <f>IF($F396&gt;5000000,ROUND(87.29*($F396/1000)^-0.2263,2),0)</f>
        <v>5.61</v>
      </c>
      <c r="H504" s="1253">
        <f t="shared" ref="H504:N504" si="298">IF($F396&gt;5000000,ROUND(87.29*($F396/1000)^-0.2263,2),0)</f>
        <v>5.61</v>
      </c>
      <c r="I504" s="1253">
        <f t="shared" si="298"/>
        <v>5.61</v>
      </c>
      <c r="J504" s="1253">
        <f t="shared" si="298"/>
        <v>5.61</v>
      </c>
      <c r="K504" s="1253">
        <f t="shared" si="298"/>
        <v>5.61</v>
      </c>
      <c r="L504" s="1253">
        <f t="shared" si="298"/>
        <v>5.61</v>
      </c>
      <c r="M504" s="1253">
        <f t="shared" si="298"/>
        <v>5.61</v>
      </c>
      <c r="N504" s="1319">
        <f t="shared" si="298"/>
        <v>5.61</v>
      </c>
    </row>
    <row r="505" spans="1:14" s="889" customFormat="1" ht="15" thickBot="1">
      <c r="A505" s="2811" t="s">
        <v>2697</v>
      </c>
      <c r="B505" s="2812"/>
      <c r="C505" s="2812"/>
      <c r="D505" s="2812"/>
      <c r="E505" s="1260"/>
      <c r="F505" s="1258"/>
      <c r="G505" s="1261">
        <f>IF($F396&lt;=5000000,IF(G$500&gt;G$501,G$501,IF(G$500&lt;G$502,G$502,G$500)),IF(G$500&gt;G$503,G$503,IF(G$500&lt;G$504,G$504,G$500)))</f>
        <v>11.87</v>
      </c>
      <c r="H505" s="1261">
        <f t="shared" ref="H505:N505" si="299">IF($F396&lt;=5000000,IF(H$500&gt;H$501,H$501,IF(H$500&lt;H$502,H$502,H$500)),IF(H$500&gt;H$503,H$503,IF(H$500&lt;H$504,H$504,H$500)))</f>
        <v>10.02</v>
      </c>
      <c r="I505" s="1261">
        <f t="shared" si="299"/>
        <v>11.87</v>
      </c>
      <c r="J505" s="1261">
        <f t="shared" si="299"/>
        <v>11.87</v>
      </c>
      <c r="K505" s="1261">
        <f t="shared" si="299"/>
        <v>11.87</v>
      </c>
      <c r="L505" s="1261">
        <f t="shared" si="299"/>
        <v>5.61</v>
      </c>
      <c r="M505" s="1261">
        <f t="shared" si="299"/>
        <v>5.61</v>
      </c>
      <c r="N505" s="1322">
        <f t="shared" si="299"/>
        <v>5.61</v>
      </c>
    </row>
    <row r="506" spans="1:14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9" customFormat="1" ht="14">
      <c r="A508" s="2802"/>
      <c r="B508" s="2805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12.12</v>
      </c>
      <c r="H508" s="1266"/>
      <c r="I508" s="1267"/>
      <c r="J508" s="1267"/>
      <c r="K508" s="1267"/>
      <c r="L508" s="1267"/>
      <c r="M508" s="1267"/>
      <c r="N508" s="1267"/>
    </row>
    <row r="509" spans="1:14" s="889" customFormat="1" ht="13.5" customHeight="1">
      <c r="A509" s="2803"/>
      <c r="B509" s="2806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272"/>
      <c r="N509" s="1272"/>
    </row>
    <row r="510" spans="1:14" s="889" customFormat="1" ht="14">
      <c r="A510" s="2804"/>
      <c r="B510" s="2807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9" customFormat="1" ht="15" thickBot="1">
      <c r="A511" s="2811" t="s">
        <v>2705</v>
      </c>
      <c r="B511" s="2812"/>
      <c r="C511" s="2812"/>
      <c r="D511" s="2812"/>
      <c r="E511" s="1260"/>
      <c r="F511" s="1258"/>
      <c r="G511" s="1275">
        <f>IF($F439&lt;=5000000,G509,IF($F439&gt;3000000000,G510,G508))</f>
        <v>12.12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</mergeCells>
  <phoneticPr fontId="2"/>
  <conditionalFormatting sqref="F87 A88 F303 A304">
    <cfRule type="expression" dxfId="7" priority="2" stopIfTrue="1">
      <formula>AND($F$113&gt;5000000,OR($E$87="無し",$E$87="なし"))</formula>
    </cfRule>
  </conditionalFormatting>
  <conditionalFormatting sqref="A10">
    <cfRule type="expression" dxfId="6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400-000000000000}">
      <formula1>"駅施設,地上建物"</formula1>
    </dataValidation>
    <dataValidation type="list" allowBlank="1" showInputMessage="1" showErrorMessage="1" sqref="WVO983049:WVV983049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G85:N85" xr:uid="{00000000-0002-0000-0400-000001000000}">
      <formula1>"改修,新営"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400-000002000000}">
      <formula1>"積上げ,積上げ・率処理併用"</formula1>
    </dataValidation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4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99CC"/>
  </sheetPr>
  <dimension ref="A2:AI145"/>
  <sheetViews>
    <sheetView zoomScale="75" zoomScaleNormal="75" workbookViewId="0">
      <selection activeCell="C2" sqref="C2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34" width="4.5" style="1" customWidth="1"/>
    <col min="35" max="16384" width="6.6640625" style="1"/>
  </cols>
  <sheetData>
    <row r="2" spans="1:34" ht="26.25" customHeight="1">
      <c r="C2" s="37" t="s">
        <v>3409</v>
      </c>
      <c r="E2" s="36" t="s">
        <v>50</v>
      </c>
      <c r="F2" s="82">
        <f>VLOOKUP("EOL",資産管理明細書!$M$4:$N$65513,2,FALSE)</f>
        <v>4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10</v>
      </c>
    </row>
    <row r="3" spans="1:34" ht="26.25" customHeight="1" thickBot="1">
      <c r="C3" s="2822" t="s">
        <v>318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29"/>
      <c r="AH3" s="2830"/>
    </row>
    <row r="4" spans="1:34" ht="42" customHeight="1">
      <c r="A4" s="5" t="s">
        <v>10</v>
      </c>
      <c r="B4" s="5" t="s">
        <v>9</v>
      </c>
      <c r="C4" s="826" t="s">
        <v>0</v>
      </c>
      <c r="D4" s="824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6" t="s">
        <v>303</v>
      </c>
      <c r="Q4" s="276" t="s">
        <v>304</v>
      </c>
      <c r="R4" s="276" t="s">
        <v>212</v>
      </c>
      <c r="S4" s="276" t="s">
        <v>213</v>
      </c>
      <c r="T4" s="276" t="s">
        <v>305</v>
      </c>
      <c r="U4" s="276" t="s">
        <v>126</v>
      </c>
      <c r="V4" s="153" t="s">
        <v>125</v>
      </c>
      <c r="W4" s="276" t="s">
        <v>311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220" t="s">
        <v>312</v>
      </c>
      <c r="AC4" s="458" t="s">
        <v>313</v>
      </c>
      <c r="AD4" s="459" t="s">
        <v>314</v>
      </c>
      <c r="AE4" s="460" t="s">
        <v>128</v>
      </c>
      <c r="AF4" s="152" t="s">
        <v>315</v>
      </c>
      <c r="AG4" s="152" t="s">
        <v>316</v>
      </c>
      <c r="AH4" s="152" t="s">
        <v>130</v>
      </c>
    </row>
    <row r="5" spans="1:34" ht="24" customHeight="1">
      <c r="A5" s="7"/>
      <c r="B5" s="7"/>
      <c r="C5" s="111" t="str">
        <f>+C2</f>
        <v>ア)東梅田駅の部-可動式ホーム柵設置に伴う建築工事</v>
      </c>
      <c r="D5" s="112"/>
      <c r="E5" s="97"/>
      <c r="F5" s="273"/>
      <c r="G5" s="113"/>
      <c r="H5" s="83" t="s">
        <v>11</v>
      </c>
      <c r="I5" s="83" t="s">
        <v>11</v>
      </c>
      <c r="J5" s="2819"/>
      <c r="K5" s="2820"/>
      <c r="L5" s="2821"/>
      <c r="M5" s="39"/>
      <c r="N5" s="39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0"/>
      <c r="AC5" s="229"/>
      <c r="AD5" s="461"/>
      <c r="AE5" s="462"/>
      <c r="AF5" s="229"/>
      <c r="AG5" s="229"/>
      <c r="AH5" s="463"/>
    </row>
    <row r="6" spans="1:34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M6" s="39"/>
      <c r="N6" s="39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0"/>
      <c r="AC6" s="229"/>
      <c r="AD6" s="461"/>
      <c r="AE6" s="462"/>
      <c r="AF6" s="229"/>
      <c r="AG6" s="229"/>
      <c r="AH6" s="213"/>
    </row>
    <row r="7" spans="1:34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I70</f>
        <v>-49108</v>
      </c>
      <c r="J7" s="65"/>
      <c r="K7" s="65"/>
      <c r="L7" s="66"/>
      <c r="M7" s="39"/>
      <c r="N7" s="39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0"/>
      <c r="AC7" s="229"/>
      <c r="AD7" s="461"/>
      <c r="AE7" s="462"/>
      <c r="AF7" s="229"/>
      <c r="AG7" s="229"/>
      <c r="AH7" s="213"/>
    </row>
    <row r="8" spans="1:34" ht="24" customHeight="1">
      <c r="A8" s="38"/>
      <c r="B8" s="38"/>
      <c r="C8" s="102"/>
      <c r="D8" s="65" t="s">
        <v>3019</v>
      </c>
      <c r="E8" s="99"/>
      <c r="F8" s="274">
        <v>1</v>
      </c>
      <c r="G8" s="115" t="s">
        <v>7</v>
      </c>
      <c r="H8" s="101"/>
      <c r="I8" s="101">
        <f>I93</f>
        <v>-69224</v>
      </c>
      <c r="J8" s="65"/>
      <c r="K8" s="65"/>
      <c r="L8" s="66"/>
      <c r="M8" s="39"/>
      <c r="N8" s="39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0"/>
      <c r="AC8" s="229"/>
      <c r="AD8" s="461"/>
      <c r="AE8" s="462"/>
      <c r="AF8" s="229"/>
      <c r="AG8" s="229"/>
      <c r="AH8" s="213"/>
    </row>
    <row r="9" spans="1:34" ht="24" customHeight="1">
      <c r="A9" s="38"/>
      <c r="B9" s="38"/>
      <c r="C9" s="102"/>
      <c r="D9" s="65" t="s">
        <v>3028</v>
      </c>
      <c r="E9" s="99"/>
      <c r="F9" s="274">
        <v>1</v>
      </c>
      <c r="G9" s="115" t="s">
        <v>7</v>
      </c>
      <c r="H9" s="101"/>
      <c r="I9" s="101">
        <f>I116</f>
        <v>1438956</v>
      </c>
      <c r="J9" s="65"/>
      <c r="K9" s="65"/>
      <c r="L9" s="66"/>
      <c r="M9" s="39"/>
      <c r="N9" s="39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0"/>
      <c r="AC9" s="229"/>
      <c r="AD9" s="461"/>
      <c r="AE9" s="462"/>
      <c r="AF9" s="229"/>
      <c r="AG9" s="229"/>
      <c r="AH9" s="213"/>
    </row>
    <row r="10" spans="1:34" ht="24" customHeight="1">
      <c r="A10" s="38"/>
      <c r="B10" s="38"/>
      <c r="C10" s="102"/>
      <c r="D10" s="65" t="s">
        <v>3031</v>
      </c>
      <c r="E10" s="99"/>
      <c r="F10" s="274">
        <v>1</v>
      </c>
      <c r="G10" s="115" t="s">
        <v>7</v>
      </c>
      <c r="H10" s="101"/>
      <c r="I10" s="101">
        <f>I139</f>
        <v>439205</v>
      </c>
      <c r="J10" s="65"/>
      <c r="K10" s="65"/>
      <c r="L10" s="66"/>
      <c r="M10" s="39"/>
      <c r="N10" s="39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0"/>
      <c r="AC10" s="229"/>
      <c r="AD10" s="461"/>
      <c r="AE10" s="462"/>
      <c r="AF10" s="229"/>
      <c r="AG10" s="229"/>
      <c r="AH10" s="213"/>
    </row>
    <row r="11" spans="1:34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M11" s="39"/>
      <c r="N11" s="39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0"/>
      <c r="AC11" s="229"/>
      <c r="AD11" s="461"/>
      <c r="AE11" s="462"/>
      <c r="AF11" s="229"/>
      <c r="AG11" s="229"/>
      <c r="AH11" s="213"/>
    </row>
    <row r="12" spans="1:34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0"/>
      <c r="AC12" s="229"/>
      <c r="AD12" s="461"/>
      <c r="AE12" s="462"/>
      <c r="AF12" s="229"/>
      <c r="AG12" s="229"/>
      <c r="AH12" s="213"/>
    </row>
    <row r="13" spans="1:34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M13" s="39"/>
      <c r="N13" s="39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0"/>
      <c r="AC13" s="229"/>
      <c r="AD13" s="461"/>
      <c r="AE13" s="462"/>
      <c r="AF13" s="229"/>
      <c r="AG13" s="229"/>
      <c r="AH13" s="213"/>
    </row>
    <row r="14" spans="1:34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M14" s="39"/>
      <c r="N14" s="39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0"/>
      <c r="AC14" s="229"/>
      <c r="AD14" s="461"/>
      <c r="AE14" s="462"/>
      <c r="AF14" s="229"/>
      <c r="AG14" s="229"/>
      <c r="AH14" s="213"/>
    </row>
    <row r="15" spans="1:34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0"/>
      <c r="AC15" s="229"/>
      <c r="AD15" s="461"/>
      <c r="AE15" s="462"/>
      <c r="AF15" s="229"/>
      <c r="AG15" s="229"/>
      <c r="AH15" s="213"/>
    </row>
    <row r="16" spans="1:34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1759829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M16" s="39"/>
      <c r="N16" s="39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0"/>
      <c r="AC16" s="229"/>
      <c r="AD16" s="461"/>
      <c r="AE16" s="462"/>
      <c r="AF16" s="229"/>
      <c r="AG16" s="229"/>
      <c r="AH16" s="213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0"/>
      <c r="AC17" s="229"/>
      <c r="AD17" s="461"/>
      <c r="AE17" s="462"/>
      <c r="AF17" s="229"/>
      <c r="AG17" s="229"/>
      <c r="AH17" s="213"/>
    </row>
    <row r="18" spans="1:35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M18" s="39"/>
      <c r="N18" s="39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0"/>
      <c r="AC18" s="229"/>
      <c r="AD18" s="461"/>
      <c r="AE18" s="462"/>
      <c r="AF18" s="229"/>
      <c r="AG18" s="229"/>
      <c r="AH18" s="213"/>
    </row>
    <row r="19" spans="1:35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273827</v>
      </c>
      <c r="J19" s="65"/>
      <c r="K19" s="65"/>
      <c r="L19" s="66"/>
      <c r="M19" s="39"/>
      <c r="N19" s="39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0"/>
      <c r="AC19" s="229"/>
      <c r="AD19" s="461"/>
      <c r="AE19" s="462"/>
      <c r="AF19" s="229"/>
      <c r="AG19" s="229"/>
      <c r="AH19" s="213"/>
    </row>
    <row r="20" spans="1:35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+変更諸経費表!G66</f>
        <v>50358</v>
      </c>
      <c r="J20" s="192"/>
      <c r="K20" s="65"/>
      <c r="L20" s="66"/>
      <c r="M20" s="39"/>
      <c r="N20" s="39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0"/>
      <c r="AC20" s="229"/>
      <c r="AD20" s="461"/>
      <c r="AE20" s="462"/>
      <c r="AF20" s="229"/>
      <c r="AG20" s="229"/>
      <c r="AH20" s="213"/>
    </row>
    <row r="21" spans="1:35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+変更諸経費表!G74</f>
        <v>204012</v>
      </c>
      <c r="J21" s="65"/>
      <c r="K21" s="65"/>
      <c r="L21" s="66"/>
      <c r="M21" s="39"/>
      <c r="N21" s="39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0"/>
      <c r="AC21" s="229"/>
      <c r="AD21" s="461"/>
      <c r="AE21" s="462"/>
      <c r="AF21" s="229"/>
      <c r="AG21" s="229"/>
      <c r="AH21" s="213"/>
    </row>
    <row r="22" spans="1:35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528197</v>
      </c>
      <c r="J22" s="65"/>
      <c r="K22" s="65"/>
      <c r="L22" s="66"/>
      <c r="M22" s="39"/>
      <c r="N22" s="39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0"/>
      <c r="AC22" s="229"/>
      <c r="AD22" s="461"/>
      <c r="AE22" s="462"/>
      <c r="AF22" s="229"/>
      <c r="AG22" s="229"/>
      <c r="AH22" s="213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2288026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0"/>
      <c r="AC23" s="229"/>
      <c r="AD23" s="461"/>
      <c r="AE23" s="462"/>
      <c r="AF23" s="229"/>
      <c r="AG23" s="229"/>
      <c r="AH23" s="213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+変更諸経費表!G79</f>
        <v>1701000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0"/>
      <c r="AC24" s="229"/>
      <c r="AD24" s="461"/>
      <c r="AE24" s="462"/>
      <c r="AF24" s="229"/>
      <c r="AG24" s="229"/>
      <c r="AH24" s="463"/>
    </row>
    <row r="25" spans="1:35" ht="14.25" customHeight="1">
      <c r="E25" s="120" t="s">
        <v>86</v>
      </c>
      <c r="F25" s="121">
        <f>+F2+1</f>
        <v>5</v>
      </c>
      <c r="G25" s="122" t="s">
        <v>87</v>
      </c>
      <c r="H25" s="123">
        <f>H2</f>
        <v>35</v>
      </c>
      <c r="M25" s="33" t="str">
        <f>IF(A27="","EOL","")</f>
        <v/>
      </c>
      <c r="N25" s="1">
        <f>+F25</f>
        <v>5</v>
      </c>
    </row>
    <row r="26" spans="1:35" ht="26.25" customHeight="1" thickBot="1">
      <c r="C26" s="2822" t="s">
        <v>318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29"/>
      <c r="AH26" s="2830"/>
    </row>
    <row r="27" spans="1:35" ht="42" customHeight="1">
      <c r="A27" s="5" t="s">
        <v>149</v>
      </c>
      <c r="B27" s="5" t="s">
        <v>9</v>
      </c>
      <c r="C27" s="827" t="s">
        <v>0</v>
      </c>
      <c r="D27" s="828"/>
      <c r="E27" s="63" t="s">
        <v>1</v>
      </c>
      <c r="F27" s="61" t="s">
        <v>2</v>
      </c>
      <c r="G27" s="61" t="s">
        <v>3</v>
      </c>
      <c r="H27" s="62" t="s">
        <v>4</v>
      </c>
      <c r="I27" s="62" t="s">
        <v>5</v>
      </c>
      <c r="J27" s="2831" t="s">
        <v>6</v>
      </c>
      <c r="K27" s="2832"/>
      <c r="L27" s="2833"/>
      <c r="M27" s="39"/>
      <c r="N27" s="39"/>
      <c r="O27" s="154" t="s">
        <v>67</v>
      </c>
      <c r="P27" s="386" t="s">
        <v>264</v>
      </c>
      <c r="Q27" s="276" t="s">
        <v>304</v>
      </c>
      <c r="R27" s="276" t="s">
        <v>212</v>
      </c>
      <c r="S27" s="276" t="s">
        <v>213</v>
      </c>
      <c r="T27" s="276" t="s">
        <v>2467</v>
      </c>
      <c r="U27" s="276" t="s">
        <v>126</v>
      </c>
      <c r="V27" s="153" t="s">
        <v>125</v>
      </c>
      <c r="W27" s="276" t="s">
        <v>2468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220" t="s">
        <v>2469</v>
      </c>
      <c r="AC27" s="458" t="s">
        <v>313</v>
      </c>
      <c r="AD27" s="459" t="s">
        <v>314</v>
      </c>
      <c r="AE27" s="460" t="s">
        <v>128</v>
      </c>
      <c r="AF27" s="152" t="s">
        <v>131</v>
      </c>
      <c r="AG27" s="152" t="s">
        <v>129</v>
      </c>
      <c r="AH27" s="152" t="s">
        <v>130</v>
      </c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19"/>
      <c r="K28" s="2820"/>
      <c r="L28" s="2821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+変更諸経費表!G21</f>
        <v>21894</v>
      </c>
      <c r="I30" s="101">
        <f t="shared" si="0"/>
        <v>21894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21894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+[2]警備員費按分表!$X$6</f>
        <v>251933</v>
      </c>
      <c r="I42" s="101">
        <f t="shared" si="0"/>
        <v>251933</v>
      </c>
      <c r="J42" s="65" t="s">
        <v>3406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251933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273827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C48" s="160"/>
      <c r="D48" s="160"/>
      <c r="E48" s="120" t="s">
        <v>86</v>
      </c>
      <c r="F48" s="121">
        <f>+F25+1</f>
        <v>6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6</v>
      </c>
      <c r="O48" s="1"/>
      <c r="P48" s="1"/>
    </row>
    <row r="49" spans="1:34" ht="26.25" customHeight="1" thickBot="1">
      <c r="C49" s="2822" t="s">
        <v>320</v>
      </c>
      <c r="D49" s="2822"/>
      <c r="E49" s="2822"/>
      <c r="F49" s="2822"/>
      <c r="G49" s="2822"/>
      <c r="H49" s="2822"/>
      <c r="I49" s="2822"/>
      <c r="J49" s="2822"/>
      <c r="K49" s="2822"/>
      <c r="L49" s="2822"/>
      <c r="O49" s="2823" t="s">
        <v>132</v>
      </c>
      <c r="P49" s="2823"/>
      <c r="Q49" s="2823"/>
      <c r="R49" s="2823"/>
      <c r="S49" s="2823"/>
      <c r="T49" s="2823"/>
      <c r="U49" s="2823"/>
      <c r="V49" s="2823"/>
      <c r="W49" s="2823"/>
      <c r="X49" s="2823"/>
      <c r="Y49" s="2823"/>
      <c r="Z49" s="2823"/>
      <c r="AA49" s="2823"/>
      <c r="AB49" s="2823"/>
      <c r="AC49" s="2823"/>
      <c r="AD49" s="2823"/>
      <c r="AE49" s="2823"/>
      <c r="AF49" s="2823"/>
      <c r="AG49" s="2823"/>
      <c r="AH49" s="2824"/>
    </row>
    <row r="50" spans="1:34" ht="41.25" customHeight="1">
      <c r="A50" s="5" t="s">
        <v>12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5" t="s">
        <v>6</v>
      </c>
      <c r="K50" s="2826"/>
      <c r="L50" s="2827"/>
      <c r="M50" s="521"/>
      <c r="N50" s="522" t="s">
        <v>378</v>
      </c>
      <c r="O50" s="154" t="s">
        <v>67</v>
      </c>
      <c r="P50" s="386" t="s">
        <v>264</v>
      </c>
      <c r="Q50" s="276" t="s">
        <v>304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267</v>
      </c>
      <c r="AC50" s="458" t="s">
        <v>313</v>
      </c>
      <c r="AD50" s="459" t="s">
        <v>314</v>
      </c>
      <c r="AE50" s="460" t="s">
        <v>128</v>
      </c>
      <c r="AF50" s="152" t="s">
        <v>131</v>
      </c>
      <c r="AG50" s="152" t="s">
        <v>129</v>
      </c>
      <c r="AH50" s="152" t="s">
        <v>130</v>
      </c>
    </row>
    <row r="51" spans="1:34" ht="24" customHeight="1">
      <c r="A51" s="38"/>
      <c r="B51" s="38"/>
      <c r="C51" s="128" t="s">
        <v>2495</v>
      </c>
      <c r="D51" s="129"/>
      <c r="E51" s="130"/>
      <c r="F51" s="273"/>
      <c r="G51" s="98"/>
      <c r="H51" s="90" t="s">
        <v>11</v>
      </c>
      <c r="I51" s="90" t="s">
        <v>11</v>
      </c>
      <c r="J51" s="2819"/>
      <c r="K51" s="2820"/>
      <c r="L51" s="2821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9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>
        <v>3</v>
      </c>
      <c r="B53" s="38">
        <v>3</v>
      </c>
      <c r="C53" s="124">
        <v>13041020</v>
      </c>
      <c r="D53" s="785" t="s">
        <v>3135</v>
      </c>
      <c r="E53" s="114" t="s">
        <v>3136</v>
      </c>
      <c r="F53" s="274">
        <v>-3</v>
      </c>
      <c r="G53" s="115" t="s">
        <v>3137</v>
      </c>
      <c r="H53" s="131">
        <v>2370</v>
      </c>
      <c r="I53" s="101">
        <f>IF(F53="","",INT(F53*H53))</f>
        <v>-7110</v>
      </c>
      <c r="J53" s="64" t="s">
        <v>3138</v>
      </c>
      <c r="K53" s="65"/>
      <c r="L53" s="66"/>
      <c r="M53" s="525"/>
      <c r="N53" s="520"/>
      <c r="O53" s="227">
        <v>1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>
        <v>3</v>
      </c>
      <c r="B54" s="38">
        <v>3</v>
      </c>
      <c r="C54" s="124">
        <v>14087</v>
      </c>
      <c r="D54" s="785" t="s">
        <v>3139</v>
      </c>
      <c r="E54" s="114" t="s">
        <v>3140</v>
      </c>
      <c r="F54" s="274">
        <v>-3</v>
      </c>
      <c r="G54" s="115" t="s">
        <v>3141</v>
      </c>
      <c r="H54" s="131">
        <v>8130</v>
      </c>
      <c r="I54" s="101">
        <f>IF(F54="","",INT(F54*H54))</f>
        <v>-24390</v>
      </c>
      <c r="J54" s="64"/>
      <c r="K54" s="65"/>
      <c r="L54" s="66"/>
      <c r="M54" s="525"/>
      <c r="N54" s="520"/>
      <c r="O54" s="227">
        <v>2</v>
      </c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>
        <v>3</v>
      </c>
      <c r="B55" s="38">
        <v>3</v>
      </c>
      <c r="C55" s="124">
        <v>14081</v>
      </c>
      <c r="D55" s="785" t="s">
        <v>3142</v>
      </c>
      <c r="E55" s="114" t="s">
        <v>3143</v>
      </c>
      <c r="F55" s="274">
        <v>-3</v>
      </c>
      <c r="G55" s="115" t="s">
        <v>3144</v>
      </c>
      <c r="H55" s="131">
        <v>9210</v>
      </c>
      <c r="I55" s="101">
        <f>IF(F55="","",INT(F55*H55))</f>
        <v>-27630</v>
      </c>
      <c r="J55" s="64"/>
      <c r="K55" s="65"/>
      <c r="L55" s="66"/>
      <c r="M55" s="525"/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3</v>
      </c>
      <c r="B56" s="38">
        <v>3</v>
      </c>
      <c r="C56" s="124">
        <v>1346005</v>
      </c>
      <c r="D56" s="785" t="s">
        <v>3145</v>
      </c>
      <c r="E56" s="114" t="s">
        <v>3146</v>
      </c>
      <c r="F56" s="274">
        <v>-3</v>
      </c>
      <c r="G56" s="115" t="s">
        <v>3147</v>
      </c>
      <c r="H56" s="131">
        <v>1510</v>
      </c>
      <c r="I56" s="101">
        <f>IF(F56="","",INT(F56*H56))</f>
        <v>-4530</v>
      </c>
      <c r="J56" s="64" t="s">
        <v>3148</v>
      </c>
      <c r="K56" s="65"/>
      <c r="L56" s="66"/>
      <c r="M56" s="525"/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>
        <v>3</v>
      </c>
      <c r="B57" s="38">
        <v>3</v>
      </c>
      <c r="C57" s="124">
        <v>30472</v>
      </c>
      <c r="D57" s="785" t="s">
        <v>3149</v>
      </c>
      <c r="E57" s="114" t="s">
        <v>3150</v>
      </c>
      <c r="F57" s="274">
        <v>-3</v>
      </c>
      <c r="G57" s="115" t="s">
        <v>3151</v>
      </c>
      <c r="H57" s="131">
        <v>4800</v>
      </c>
      <c r="I57" s="101">
        <f>IF(F57="","",INT(F57*H57))</f>
        <v>-14400</v>
      </c>
      <c r="J57" s="64" t="s">
        <v>3152</v>
      </c>
      <c r="K57" s="65"/>
      <c r="L57" s="66"/>
      <c r="M57" s="525"/>
      <c r="N57" s="520"/>
      <c r="O57" s="227">
        <v>0</v>
      </c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1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3</v>
      </c>
      <c r="B59" s="38">
        <v>3</v>
      </c>
      <c r="C59" s="124">
        <v>14095</v>
      </c>
      <c r="D59" s="785" t="s">
        <v>3015</v>
      </c>
      <c r="E59" s="114" t="s">
        <v>3016</v>
      </c>
      <c r="F59" s="274">
        <v>2.8</v>
      </c>
      <c r="G59" s="115" t="s">
        <v>3017</v>
      </c>
      <c r="H59" s="131">
        <v>2950</v>
      </c>
      <c r="I59" s="101">
        <f>IF(F59="","",INT(F59*H59))</f>
        <v>8260</v>
      </c>
      <c r="J59" s="64"/>
      <c r="K59" s="65"/>
      <c r="L59" s="66"/>
      <c r="M59" s="525"/>
      <c r="N59" s="520"/>
      <c r="O59" s="227">
        <v>0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3</v>
      </c>
      <c r="B60" s="38">
        <v>3</v>
      </c>
      <c r="C60" s="124">
        <v>14096</v>
      </c>
      <c r="D60" s="785" t="s">
        <v>3015</v>
      </c>
      <c r="E60" s="114" t="s">
        <v>3018</v>
      </c>
      <c r="F60" s="274">
        <v>2.8</v>
      </c>
      <c r="G60" s="115" t="s">
        <v>3017</v>
      </c>
      <c r="H60" s="131">
        <v>7390</v>
      </c>
      <c r="I60" s="101">
        <f>IF(F60="","",INT(F60*H60))</f>
        <v>20692</v>
      </c>
      <c r="J60" s="64"/>
      <c r="K60" s="65"/>
      <c r="L60" s="66"/>
      <c r="M60" s="525"/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1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1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1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1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1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88</v>
      </c>
      <c r="I70" s="105">
        <f>SUM(I52:I69)</f>
        <v>-49108</v>
      </c>
      <c r="J70" s="822" t="str">
        <f>IF(C51="部分撤去工事","）うち費用",")")</f>
        <v>)</v>
      </c>
      <c r="K70" s="821">
        <f>IF(C51="部分撤去工事",(#REF!+L70),0)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7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7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822" t="s">
        <v>320</v>
      </c>
      <c r="D72" s="2822"/>
      <c r="E72" s="2822"/>
      <c r="F72" s="2822"/>
      <c r="G72" s="2822"/>
      <c r="H72" s="2822"/>
      <c r="I72" s="2822"/>
      <c r="J72" s="2822"/>
      <c r="K72" s="2822"/>
      <c r="L72" s="2822"/>
      <c r="O72" s="2823" t="s">
        <v>132</v>
      </c>
      <c r="P72" s="2823"/>
      <c r="Q72" s="2823"/>
      <c r="R72" s="2823"/>
      <c r="S72" s="2823"/>
      <c r="T72" s="2823"/>
      <c r="U72" s="2823"/>
      <c r="V72" s="2823"/>
      <c r="W72" s="2823"/>
      <c r="X72" s="2823"/>
      <c r="Y72" s="2823"/>
      <c r="Z72" s="2823"/>
      <c r="AA72" s="2823"/>
      <c r="AB72" s="2823"/>
      <c r="AC72" s="2823"/>
      <c r="AD72" s="2823"/>
      <c r="AE72" s="2823"/>
      <c r="AF72" s="2823"/>
      <c r="AG72" s="2823"/>
      <c r="AH72" s="282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5" t="s">
        <v>6</v>
      </c>
      <c r="K73" s="2826"/>
      <c r="L73" s="2827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3019</v>
      </c>
      <c r="D74" s="129"/>
      <c r="E74" s="130"/>
      <c r="F74" s="273"/>
      <c r="G74" s="98"/>
      <c r="H74" s="90" t="s">
        <v>11</v>
      </c>
      <c r="I74" s="90" t="s">
        <v>11</v>
      </c>
      <c r="J74" s="2819"/>
      <c r="K74" s="2820"/>
      <c r="L74" s="2821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2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3</v>
      </c>
      <c r="B76" s="38">
        <v>3</v>
      </c>
      <c r="C76" s="124">
        <v>2020102</v>
      </c>
      <c r="D76" s="785" t="s">
        <v>3020</v>
      </c>
      <c r="E76" s="114" t="s">
        <v>3021</v>
      </c>
      <c r="F76" s="274">
        <v>8.8000000000000007</v>
      </c>
      <c r="G76" s="115" t="s">
        <v>143</v>
      </c>
      <c r="H76" s="131">
        <v>1870</v>
      </c>
      <c r="I76" s="101">
        <f>IF(F76="","",INT(F76*H76))</f>
        <v>16456</v>
      </c>
      <c r="J76" s="64" t="s">
        <v>3022</v>
      </c>
      <c r="K76" s="65"/>
      <c r="L76" s="66"/>
      <c r="M76" s="525"/>
      <c r="N76" s="520"/>
      <c r="O76" s="227">
        <v>8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/>
      <c r="E77" s="114"/>
      <c r="F77" s="274"/>
      <c r="G77" s="115"/>
      <c r="H77" s="131"/>
      <c r="I77" s="101" t="str">
        <f t="shared" si="2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>
        <v>4</v>
      </c>
      <c r="B78" s="38">
        <v>4</v>
      </c>
      <c r="C78" s="124">
        <v>19112</v>
      </c>
      <c r="D78" s="785" t="s">
        <v>3023</v>
      </c>
      <c r="E78" s="114" t="s">
        <v>3024</v>
      </c>
      <c r="F78" s="274">
        <v>-12</v>
      </c>
      <c r="G78" s="115" t="s">
        <v>143</v>
      </c>
      <c r="H78" s="131">
        <v>160</v>
      </c>
      <c r="I78" s="101">
        <f>IF(F78="","",INT(F78*H78))</f>
        <v>-1920</v>
      </c>
      <c r="J78" s="64" t="s">
        <v>3025</v>
      </c>
      <c r="K78" s="65"/>
      <c r="L78" s="66"/>
      <c r="M78" s="525"/>
      <c r="N78" s="520"/>
      <c r="O78" s="227">
        <v>1</v>
      </c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4</v>
      </c>
      <c r="B79" s="38">
        <v>4</v>
      </c>
      <c r="C79" s="124">
        <v>19015</v>
      </c>
      <c r="D79" s="785" t="s">
        <v>3023</v>
      </c>
      <c r="E79" s="114" t="s">
        <v>3026</v>
      </c>
      <c r="F79" s="274">
        <v>-12</v>
      </c>
      <c r="G79" s="115" t="s">
        <v>143</v>
      </c>
      <c r="H79" s="131">
        <v>6980</v>
      </c>
      <c r="I79" s="101">
        <f>IF(F79="","",INT(F79*H79))</f>
        <v>-83760</v>
      </c>
      <c r="J79" s="64" t="s">
        <v>3027</v>
      </c>
      <c r="K79" s="65"/>
      <c r="L79" s="66"/>
      <c r="M79" s="525"/>
      <c r="N79" s="520"/>
      <c r="O79" s="227">
        <v>7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/>
      <c r="B80" s="38"/>
      <c r="C80" s="124"/>
      <c r="D80" s="125"/>
      <c r="E80" s="114"/>
      <c r="F80" s="274"/>
      <c r="G80" s="115"/>
      <c r="H80" s="131"/>
      <c r="I80" s="101" t="str">
        <f t="shared" si="2"/>
        <v/>
      </c>
      <c r="J80" s="64"/>
      <c r="K80" s="65"/>
      <c r="L80" s="66"/>
      <c r="M80" s="525"/>
      <c r="N80" s="520"/>
      <c r="O80" s="227"/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/>
      <c r="F81" s="274"/>
      <c r="G81" s="115"/>
      <c r="H81" s="131"/>
      <c r="I81" s="101" t="str">
        <f t="shared" si="2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2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2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2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2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2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2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2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2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2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2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2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-69224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8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8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2" t="s">
        <v>320</v>
      </c>
      <c r="D95" s="2822"/>
      <c r="E95" s="2822"/>
      <c r="F95" s="2822"/>
      <c r="G95" s="2822"/>
      <c r="H95" s="2822"/>
      <c r="I95" s="2822"/>
      <c r="J95" s="2822"/>
      <c r="K95" s="2822"/>
      <c r="L95" s="2822"/>
      <c r="O95" s="2823" t="s">
        <v>132</v>
      </c>
      <c r="P95" s="2823"/>
      <c r="Q95" s="2823"/>
      <c r="R95" s="2823"/>
      <c r="S95" s="2823"/>
      <c r="T95" s="2823"/>
      <c r="U95" s="2823"/>
      <c r="V95" s="2823"/>
      <c r="W95" s="2823"/>
      <c r="X95" s="2823"/>
      <c r="Y95" s="2823"/>
      <c r="Z95" s="2823"/>
      <c r="AA95" s="2823"/>
      <c r="AB95" s="2823"/>
      <c r="AC95" s="2823"/>
      <c r="AD95" s="2823"/>
      <c r="AE95" s="2823"/>
      <c r="AF95" s="2823"/>
      <c r="AG95" s="2823"/>
      <c r="AH95" s="282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5" t="s">
        <v>6</v>
      </c>
      <c r="K96" s="2826"/>
      <c r="L96" s="2827"/>
      <c r="M96" s="521"/>
      <c r="N96" s="522" t="s">
        <v>378</v>
      </c>
      <c r="O96" s="154" t="s">
        <v>67</v>
      </c>
      <c r="P96" s="386" t="s">
        <v>264</v>
      </c>
      <c r="Q96" s="276" t="s">
        <v>304</v>
      </c>
      <c r="R96" s="276" t="s">
        <v>212</v>
      </c>
      <c r="S96" s="276" t="s">
        <v>213</v>
      </c>
      <c r="T96" s="276" t="s">
        <v>265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267</v>
      </c>
      <c r="AC96" s="458" t="s">
        <v>313</v>
      </c>
      <c r="AD96" s="459" t="s">
        <v>314</v>
      </c>
      <c r="AE96" s="460" t="s">
        <v>128</v>
      </c>
      <c r="AF96" s="152" t="s">
        <v>131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3028</v>
      </c>
      <c r="D97" s="129"/>
      <c r="E97" s="130"/>
      <c r="F97" s="273"/>
      <c r="G97" s="98"/>
      <c r="H97" s="90" t="s">
        <v>11</v>
      </c>
      <c r="I97" s="90" t="s">
        <v>11</v>
      </c>
      <c r="J97" s="2819"/>
      <c r="K97" s="2820"/>
      <c r="L97" s="2821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3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2100601</v>
      </c>
      <c r="D99" s="2568" t="s">
        <v>3029</v>
      </c>
      <c r="E99" s="2569" t="s">
        <v>3117</v>
      </c>
      <c r="F99" s="2570">
        <v>7.2</v>
      </c>
      <c r="G99" s="2571" t="s">
        <v>3030</v>
      </c>
      <c r="H99" s="2572">
        <v>4830</v>
      </c>
      <c r="I99" s="2573">
        <f>IF(F99="","",INT(F99*H99))</f>
        <v>34776</v>
      </c>
      <c r="J99" s="2574" t="s">
        <v>3118</v>
      </c>
      <c r="K99" s="2575"/>
      <c r="L99" s="2576"/>
      <c r="M99" s="2577"/>
      <c r="N99" s="2578"/>
      <c r="O99" s="2579">
        <v>1.3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2586" customFormat="1" ht="24" customHeight="1">
      <c r="A100" s="2566">
        <v>4</v>
      </c>
      <c r="B100" s="2566">
        <v>4</v>
      </c>
      <c r="C100" s="2567">
        <v>20110</v>
      </c>
      <c r="D100" s="2568" t="s">
        <v>3119</v>
      </c>
      <c r="E100" s="2569" t="s">
        <v>3120</v>
      </c>
      <c r="F100" s="2570">
        <v>7.2</v>
      </c>
      <c r="G100" s="2571" t="s">
        <v>3121</v>
      </c>
      <c r="H100" s="2572">
        <v>2900</v>
      </c>
      <c r="I100" s="2573">
        <f>IF(F100="","",INT(F100*H100))</f>
        <v>20880</v>
      </c>
      <c r="J100" s="2574" t="s">
        <v>3122</v>
      </c>
      <c r="K100" s="2575"/>
      <c r="L100" s="2576"/>
      <c r="M100" s="2577"/>
      <c r="N100" s="2578"/>
      <c r="O100" s="2579">
        <v>0.5</v>
      </c>
      <c r="P100" s="2580"/>
      <c r="Q100" s="2581"/>
      <c r="R100" s="2581"/>
      <c r="S100" s="2581"/>
      <c r="T100" s="2581"/>
      <c r="U100" s="2581"/>
      <c r="V100" s="2581"/>
      <c r="W100" s="2581"/>
      <c r="X100" s="2582"/>
      <c r="Y100" s="2582"/>
      <c r="Z100" s="2582"/>
      <c r="AA100" s="2582"/>
      <c r="AB100" s="2582"/>
      <c r="AC100" s="2581"/>
      <c r="AD100" s="2583"/>
      <c r="AE100" s="2584"/>
      <c r="AF100" s="2581"/>
      <c r="AG100" s="2581"/>
      <c r="AH100" s="2585"/>
    </row>
    <row r="101" spans="1:34" s="2586" customFormat="1" ht="24" customHeight="1">
      <c r="A101" s="2566"/>
      <c r="B101" s="2566"/>
      <c r="C101" s="2567"/>
      <c r="D101" s="2598"/>
      <c r="E101" s="2569"/>
      <c r="F101" s="2570"/>
      <c r="G101" s="2571"/>
      <c r="H101" s="2572"/>
      <c r="I101" s="2573" t="str">
        <f t="shared" si="3"/>
        <v/>
      </c>
      <c r="J101" s="2574"/>
      <c r="K101" s="2575"/>
      <c r="L101" s="2576"/>
      <c r="M101" s="2577"/>
      <c r="N101" s="2578"/>
      <c r="O101" s="2579"/>
      <c r="P101" s="2580"/>
      <c r="Q101" s="2581"/>
      <c r="R101" s="2581"/>
      <c r="S101" s="2581"/>
      <c r="T101" s="2581"/>
      <c r="U101" s="2581"/>
      <c r="V101" s="2581"/>
      <c r="W101" s="2581"/>
      <c r="X101" s="2582"/>
      <c r="Y101" s="2582"/>
      <c r="Z101" s="2582"/>
      <c r="AA101" s="2582"/>
      <c r="AB101" s="2582"/>
      <c r="AC101" s="2581"/>
      <c r="AD101" s="2583"/>
      <c r="AE101" s="2584"/>
      <c r="AF101" s="2581"/>
      <c r="AG101" s="2581"/>
      <c r="AH101" s="2585"/>
    </row>
    <row r="102" spans="1:34" s="2586" customFormat="1" ht="24" customHeight="1">
      <c r="A102" s="2566">
        <v>4</v>
      </c>
      <c r="B102" s="2566">
        <v>4</v>
      </c>
      <c r="C102" s="2567">
        <v>710</v>
      </c>
      <c r="D102" s="2568" t="s">
        <v>3372</v>
      </c>
      <c r="E102" s="2569" t="s">
        <v>3376</v>
      </c>
      <c r="F102" s="2570">
        <v>4</v>
      </c>
      <c r="G102" s="2571" t="s">
        <v>3365</v>
      </c>
      <c r="H102" s="2572">
        <f>見積比較!O$113</f>
        <v>168700</v>
      </c>
      <c r="I102" s="101">
        <f>IF(F102="","",INT(F102*H102))</f>
        <v>674800</v>
      </c>
      <c r="J102" s="2574" t="s">
        <v>3366</v>
      </c>
      <c r="K102" s="2575"/>
      <c r="L102" s="2576"/>
      <c r="M102" s="2656" t="s">
        <v>3101</v>
      </c>
      <c r="N102" s="2578" t="s">
        <v>3378</v>
      </c>
      <c r="O102" s="2579">
        <v>0</v>
      </c>
      <c r="P102" s="2580"/>
      <c r="Q102" s="2581"/>
      <c r="R102" s="2581"/>
      <c r="S102" s="2581"/>
      <c r="T102" s="2581"/>
      <c r="U102" s="2581"/>
      <c r="V102" s="2581"/>
      <c r="W102" s="2581"/>
      <c r="X102" s="2582"/>
      <c r="Y102" s="2582"/>
      <c r="Z102" s="2582"/>
      <c r="AA102" s="2582"/>
      <c r="AB102" s="2582"/>
      <c r="AC102" s="2581"/>
      <c r="AD102" s="2583"/>
      <c r="AE102" s="2584"/>
      <c r="AF102" s="2581"/>
      <c r="AG102" s="2581"/>
      <c r="AH102" s="2585"/>
    </row>
    <row r="103" spans="1:34" s="2586" customFormat="1" ht="24" customHeight="1">
      <c r="A103" s="2566">
        <v>4</v>
      </c>
      <c r="B103" s="2566">
        <v>4</v>
      </c>
      <c r="C103" s="2567">
        <v>712</v>
      </c>
      <c r="D103" s="2568" t="s">
        <v>3377</v>
      </c>
      <c r="E103" s="2569" t="s">
        <v>3291</v>
      </c>
      <c r="F103" s="2570">
        <v>13</v>
      </c>
      <c r="G103" s="2571" t="s">
        <v>3365</v>
      </c>
      <c r="H103" s="2572">
        <f>見積比較!O$115</f>
        <v>54500</v>
      </c>
      <c r="I103" s="101">
        <f>IF(F103="","",INT(F103*H103))</f>
        <v>708500</v>
      </c>
      <c r="J103" s="2574" t="s">
        <v>3366</v>
      </c>
      <c r="K103" s="2575"/>
      <c r="L103" s="2576"/>
      <c r="M103" s="2656" t="s">
        <v>3101</v>
      </c>
      <c r="N103" s="2578" t="s">
        <v>3100</v>
      </c>
      <c r="O103" s="2579">
        <v>0</v>
      </c>
      <c r="P103" s="2580"/>
      <c r="Q103" s="2581"/>
      <c r="R103" s="2581"/>
      <c r="S103" s="2581"/>
      <c r="T103" s="2581"/>
      <c r="U103" s="2581"/>
      <c r="V103" s="2581"/>
      <c r="W103" s="2581"/>
      <c r="X103" s="2582"/>
      <c r="Y103" s="2582"/>
      <c r="Z103" s="2582"/>
      <c r="AA103" s="2582"/>
      <c r="AB103" s="2582"/>
      <c r="AC103" s="2581"/>
      <c r="AD103" s="2583"/>
      <c r="AE103" s="2584"/>
      <c r="AF103" s="2581"/>
      <c r="AG103" s="2581"/>
      <c r="AH103" s="2585"/>
    </row>
    <row r="104" spans="1:34" s="2586" customFormat="1" ht="24" customHeight="1">
      <c r="A104" s="2566"/>
      <c r="B104" s="2566"/>
      <c r="C104" s="2567"/>
      <c r="D104" s="2598"/>
      <c r="E104" s="2569"/>
      <c r="F104" s="2570"/>
      <c r="G104" s="2571"/>
      <c r="H104" s="2572"/>
      <c r="I104" s="2573" t="str">
        <f t="shared" si="3"/>
        <v/>
      </c>
      <c r="J104" s="2574"/>
      <c r="K104" s="2575"/>
      <c r="L104" s="2576"/>
      <c r="M104" s="2577"/>
      <c r="N104" s="2578"/>
      <c r="O104" s="2579"/>
      <c r="P104" s="2580"/>
      <c r="Q104" s="2581"/>
      <c r="R104" s="2581"/>
      <c r="S104" s="2581"/>
      <c r="T104" s="2581"/>
      <c r="U104" s="2581"/>
      <c r="V104" s="2581"/>
      <c r="W104" s="2581"/>
      <c r="X104" s="2582"/>
      <c r="Y104" s="2582"/>
      <c r="Z104" s="2582"/>
      <c r="AA104" s="2582"/>
      <c r="AB104" s="2582"/>
      <c r="AC104" s="2581"/>
      <c r="AD104" s="2583"/>
      <c r="AE104" s="2584"/>
      <c r="AF104" s="2581"/>
      <c r="AG104" s="2581"/>
      <c r="AH104" s="2585"/>
    </row>
    <row r="105" spans="1:34" s="2586" customFormat="1" ht="24" customHeight="1">
      <c r="A105" s="2566"/>
      <c r="B105" s="2566"/>
      <c r="C105" s="2567"/>
      <c r="D105" s="2598"/>
      <c r="E105" s="2569"/>
      <c r="F105" s="2570"/>
      <c r="G105" s="2571"/>
      <c r="H105" s="2572"/>
      <c r="I105" s="2573" t="str">
        <f t="shared" si="3"/>
        <v/>
      </c>
      <c r="J105" s="2574"/>
      <c r="K105" s="2575"/>
      <c r="L105" s="2576"/>
      <c r="M105" s="2577"/>
      <c r="N105" s="2578"/>
      <c r="O105" s="2579"/>
      <c r="P105" s="2580"/>
      <c r="Q105" s="2581"/>
      <c r="R105" s="2581"/>
      <c r="S105" s="2581"/>
      <c r="T105" s="2581"/>
      <c r="U105" s="2581"/>
      <c r="V105" s="2581"/>
      <c r="W105" s="2581"/>
      <c r="X105" s="2582"/>
      <c r="Y105" s="2582"/>
      <c r="Z105" s="2582"/>
      <c r="AA105" s="2582"/>
      <c r="AB105" s="2582"/>
      <c r="AC105" s="2581"/>
      <c r="AD105" s="2583"/>
      <c r="AE105" s="2584"/>
      <c r="AF105" s="2581"/>
      <c r="AG105" s="2581"/>
      <c r="AH105" s="2585"/>
    </row>
    <row r="106" spans="1:34" s="2586" customFormat="1" ht="24.75" customHeight="1">
      <c r="A106" s="2566"/>
      <c r="B106" s="2566"/>
      <c r="C106" s="2567"/>
      <c r="D106" s="2598"/>
      <c r="E106" s="2569"/>
      <c r="F106" s="2570"/>
      <c r="G106" s="2571"/>
      <c r="H106" s="2572"/>
      <c r="I106" s="2573" t="str">
        <f t="shared" si="3"/>
        <v/>
      </c>
      <c r="J106" s="2574"/>
      <c r="K106" s="2575"/>
      <c r="L106" s="2576"/>
      <c r="M106" s="2577"/>
      <c r="N106" s="2578"/>
      <c r="O106" s="2579"/>
      <c r="P106" s="2580"/>
      <c r="Q106" s="2581"/>
      <c r="R106" s="2581"/>
      <c r="S106" s="2581"/>
      <c r="T106" s="2581"/>
      <c r="U106" s="2581"/>
      <c r="V106" s="2581"/>
      <c r="W106" s="2581"/>
      <c r="X106" s="2582"/>
      <c r="Y106" s="2582"/>
      <c r="Z106" s="2582"/>
      <c r="AA106" s="2582"/>
      <c r="AB106" s="2582"/>
      <c r="AC106" s="2581"/>
      <c r="AD106" s="2583"/>
      <c r="AE106" s="2584"/>
      <c r="AF106" s="2581"/>
      <c r="AG106" s="2581"/>
      <c r="AH106" s="2585"/>
    </row>
    <row r="107" spans="1:34" s="2586" customFormat="1" ht="24" customHeight="1">
      <c r="A107" s="2566"/>
      <c r="B107" s="2566"/>
      <c r="C107" s="2567"/>
      <c r="D107" s="2568"/>
      <c r="E107" s="2569"/>
      <c r="F107" s="2570"/>
      <c r="G107" s="2571"/>
      <c r="H107" s="2572"/>
      <c r="I107" s="2573"/>
      <c r="J107" s="2574"/>
      <c r="K107" s="2575"/>
      <c r="L107" s="2576"/>
      <c r="M107" s="2577"/>
      <c r="N107" s="2578"/>
      <c r="O107" s="2579"/>
      <c r="P107" s="2580"/>
      <c r="Q107" s="2581"/>
      <c r="R107" s="2581"/>
      <c r="S107" s="2581"/>
      <c r="T107" s="2581"/>
      <c r="U107" s="2581"/>
      <c r="V107" s="2581"/>
      <c r="W107" s="2581"/>
      <c r="X107" s="2582"/>
      <c r="Y107" s="2582"/>
      <c r="Z107" s="2582"/>
      <c r="AA107" s="2582"/>
      <c r="AB107" s="2582"/>
      <c r="AC107" s="2581"/>
      <c r="AD107" s="2583"/>
      <c r="AE107" s="2584"/>
      <c r="AF107" s="2581"/>
      <c r="AG107" s="2581"/>
      <c r="AH107" s="2585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/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/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3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3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3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3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3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3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</f>
        <v>1438956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9</v>
      </c>
      <c r="G117" s="122" t="s">
        <v>87</v>
      </c>
      <c r="H117" s="123">
        <f>+H94</f>
        <v>35</v>
      </c>
      <c r="I117" s="123"/>
      <c r="M117" s="33" t="str">
        <f>IF(A119="","EOL","")</f>
        <v/>
      </c>
      <c r="N117" s="1">
        <f>+F117</f>
        <v>9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2" t="s">
        <v>320</v>
      </c>
      <c r="D118" s="2822"/>
      <c r="E118" s="2822"/>
      <c r="F118" s="2822"/>
      <c r="G118" s="2822"/>
      <c r="H118" s="2822"/>
      <c r="I118" s="2822"/>
      <c r="J118" s="2822"/>
      <c r="K118" s="2822"/>
      <c r="L118" s="2822"/>
      <c r="O118" s="2823" t="s">
        <v>132</v>
      </c>
      <c r="P118" s="2823"/>
      <c r="Q118" s="2823"/>
      <c r="R118" s="2823"/>
      <c r="S118" s="2823"/>
      <c r="T118" s="2823"/>
      <c r="U118" s="2823"/>
      <c r="V118" s="2823"/>
      <c r="W118" s="2823"/>
      <c r="X118" s="2823"/>
      <c r="Y118" s="2823"/>
      <c r="Z118" s="2823"/>
      <c r="AA118" s="2823"/>
      <c r="AB118" s="2823"/>
      <c r="AC118" s="2823"/>
      <c r="AD118" s="2823"/>
      <c r="AE118" s="2823"/>
      <c r="AF118" s="2823"/>
      <c r="AG118" s="2823"/>
      <c r="AH118" s="282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5" t="s">
        <v>6</v>
      </c>
      <c r="K119" s="2826"/>
      <c r="L119" s="2827"/>
      <c r="M119" s="521"/>
      <c r="N119" s="522" t="s">
        <v>378</v>
      </c>
      <c r="O119" s="154" t="s">
        <v>67</v>
      </c>
      <c r="P119" s="386" t="s">
        <v>264</v>
      </c>
      <c r="Q119" s="276" t="s">
        <v>304</v>
      </c>
      <c r="R119" s="276" t="s">
        <v>212</v>
      </c>
      <c r="S119" s="276" t="s">
        <v>213</v>
      </c>
      <c r="T119" s="276" t="s">
        <v>265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267</v>
      </c>
      <c r="AC119" s="458" t="s">
        <v>313</v>
      </c>
      <c r="AD119" s="459" t="s">
        <v>314</v>
      </c>
      <c r="AE119" s="460" t="s">
        <v>128</v>
      </c>
      <c r="AF119" s="152" t="s">
        <v>131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3031</v>
      </c>
      <c r="D120" s="129"/>
      <c r="E120" s="130"/>
      <c r="F120" s="273"/>
      <c r="G120" s="98"/>
      <c r="H120" s="90" t="s">
        <v>11</v>
      </c>
      <c r="I120" s="90" t="s">
        <v>11</v>
      </c>
      <c r="J120" s="2819"/>
      <c r="K120" s="2820"/>
      <c r="L120" s="2821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24" si="4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39" customFormat="1" ht="24" customHeight="1">
      <c r="A122" s="38">
        <v>3</v>
      </c>
      <c r="B122" s="38">
        <v>3</v>
      </c>
      <c r="C122" s="124">
        <v>23059</v>
      </c>
      <c r="D122" s="785" t="s">
        <v>3292</v>
      </c>
      <c r="E122" s="114" t="s">
        <v>3293</v>
      </c>
      <c r="F122" s="274">
        <v>8.8000000000000007</v>
      </c>
      <c r="G122" s="115" t="s">
        <v>3294</v>
      </c>
      <c r="H122" s="131">
        <v>2270</v>
      </c>
      <c r="I122" s="101">
        <f>IF(F122="","",INT(F122*H122))</f>
        <v>19976</v>
      </c>
      <c r="J122" s="64" t="s">
        <v>3295</v>
      </c>
      <c r="K122" s="65"/>
      <c r="L122" s="66"/>
      <c r="M122" s="525"/>
      <c r="N122" s="520"/>
      <c r="O122" s="227"/>
      <c r="P122" s="228"/>
      <c r="Q122" s="229"/>
      <c r="R122" s="229"/>
      <c r="S122" s="229"/>
      <c r="T122" s="229"/>
      <c r="U122" s="229"/>
      <c r="V122" s="229"/>
      <c r="W122" s="229"/>
      <c r="X122" s="230">
        <v>9</v>
      </c>
      <c r="Y122" s="230"/>
      <c r="Z122" s="230"/>
      <c r="AA122" s="230"/>
      <c r="AB122" s="230"/>
      <c r="AC122" s="229"/>
      <c r="AD122" s="461"/>
      <c r="AE122" s="462"/>
      <c r="AF122" s="229"/>
      <c r="AG122" s="229"/>
      <c r="AH122" s="213"/>
    </row>
    <row r="123" spans="1:34" s="39" customFormat="1" ht="24" customHeight="1">
      <c r="A123" s="38">
        <v>4</v>
      </c>
      <c r="B123" s="38">
        <v>4</v>
      </c>
      <c r="C123" s="124">
        <v>23173</v>
      </c>
      <c r="D123" s="785" t="s">
        <v>3187</v>
      </c>
      <c r="E123" s="114" t="s">
        <v>3188</v>
      </c>
      <c r="F123" s="274">
        <v>-12</v>
      </c>
      <c r="G123" s="115" t="s">
        <v>3189</v>
      </c>
      <c r="H123" s="131">
        <v>7090</v>
      </c>
      <c r="I123" s="101">
        <f>IF(F123="","",INT(F123*H123))</f>
        <v>-85080</v>
      </c>
      <c r="J123" s="64" t="s">
        <v>3190</v>
      </c>
      <c r="K123" s="65"/>
      <c r="L123" s="66"/>
      <c r="M123" s="525"/>
      <c r="N123" s="520"/>
      <c r="O123" s="227"/>
      <c r="P123" s="228"/>
      <c r="Q123" s="229"/>
      <c r="R123" s="229"/>
      <c r="S123" s="229"/>
      <c r="T123" s="229"/>
      <c r="U123" s="229"/>
      <c r="V123" s="229"/>
      <c r="W123" s="229"/>
      <c r="X123" s="230"/>
      <c r="Y123" s="230"/>
      <c r="Z123" s="230"/>
      <c r="AA123" s="230"/>
      <c r="AB123" s="230"/>
      <c r="AC123" s="229"/>
      <c r="AD123" s="461">
        <v>9</v>
      </c>
      <c r="AE123" s="462"/>
      <c r="AF123" s="229"/>
      <c r="AG123" s="229"/>
      <c r="AH123" s="213"/>
    </row>
    <row r="124" spans="1:34" s="39" customFormat="1" ht="24" customHeight="1">
      <c r="A124" s="38"/>
      <c r="B124" s="38"/>
      <c r="C124" s="124"/>
      <c r="D124" s="125"/>
      <c r="E124" s="114"/>
      <c r="F124" s="274"/>
      <c r="G124" s="115"/>
      <c r="H124" s="131"/>
      <c r="I124" s="101" t="str">
        <f t="shared" si="4"/>
        <v/>
      </c>
      <c r="J124" s="64"/>
      <c r="K124" s="65"/>
      <c r="L124" s="66"/>
      <c r="M124" s="525"/>
      <c r="N124" s="520"/>
      <c r="O124" s="227"/>
      <c r="P124" s="228"/>
      <c r="Q124" s="229"/>
      <c r="R124" s="229"/>
      <c r="S124" s="229"/>
      <c r="T124" s="229"/>
      <c r="U124" s="229"/>
      <c r="V124" s="229"/>
      <c r="W124" s="229"/>
      <c r="X124" s="230"/>
      <c r="Y124" s="230"/>
      <c r="Z124" s="230"/>
      <c r="AA124" s="230"/>
      <c r="AB124" s="230"/>
      <c r="AC124" s="229"/>
      <c r="AD124" s="461"/>
      <c r="AE124" s="462"/>
      <c r="AF124" s="229"/>
      <c r="AG124" s="229"/>
      <c r="AH124" s="213"/>
    </row>
    <row r="125" spans="1:34" s="2586" customFormat="1" ht="24" customHeight="1">
      <c r="A125" s="2566">
        <v>4</v>
      </c>
      <c r="B125" s="2566">
        <v>4</v>
      </c>
      <c r="C125" s="2567"/>
      <c r="D125" s="2568" t="s">
        <v>385</v>
      </c>
      <c r="E125" s="2569" t="s">
        <v>3032</v>
      </c>
      <c r="F125" s="2570">
        <v>10.9</v>
      </c>
      <c r="G125" s="2571" t="s">
        <v>3033</v>
      </c>
      <c r="H125" s="2572">
        <v>1220</v>
      </c>
      <c r="I125" s="2573">
        <f t="shared" ref="I125:I126" si="5">IF(F125="","",INT(F125*H125))</f>
        <v>13298</v>
      </c>
      <c r="J125" s="2574" t="s">
        <v>3232</v>
      </c>
      <c r="K125" s="2575"/>
      <c r="L125" s="2576"/>
      <c r="M125" s="2577"/>
      <c r="N125" s="520"/>
      <c r="O125" s="2579">
        <v>9</v>
      </c>
      <c r="P125" s="2580"/>
      <c r="Q125" s="2581"/>
      <c r="R125" s="2581">
        <v>4</v>
      </c>
      <c r="S125" s="2581"/>
      <c r="T125" s="2581"/>
      <c r="U125" s="2581"/>
      <c r="V125" s="2581"/>
      <c r="W125" s="2581"/>
      <c r="X125" s="2582"/>
      <c r="Y125" s="2582"/>
      <c r="Z125" s="2582"/>
      <c r="AA125" s="2582"/>
      <c r="AB125" s="2582"/>
      <c r="AC125" s="2581"/>
      <c r="AD125" s="2583"/>
      <c r="AE125" s="2584"/>
      <c r="AF125" s="2581"/>
      <c r="AG125" s="2581"/>
      <c r="AH125" s="2585"/>
    </row>
    <row r="126" spans="1:34" s="2586" customFormat="1" ht="24" customHeight="1">
      <c r="A126" s="2566">
        <v>4</v>
      </c>
      <c r="B126" s="2566">
        <v>4</v>
      </c>
      <c r="C126" s="2567"/>
      <c r="D126" s="2568" t="s">
        <v>385</v>
      </c>
      <c r="E126" s="2569" t="s">
        <v>3034</v>
      </c>
      <c r="F126" s="2570">
        <v>18.7</v>
      </c>
      <c r="G126" s="2571" t="s">
        <v>3035</v>
      </c>
      <c r="H126" s="2572">
        <v>8280</v>
      </c>
      <c r="I126" s="2573">
        <f t="shared" si="5"/>
        <v>154836</v>
      </c>
      <c r="J126" s="2574" t="s">
        <v>3233</v>
      </c>
      <c r="K126" s="2575"/>
      <c r="L126" s="2576"/>
      <c r="M126" s="2577"/>
      <c r="N126" s="520"/>
      <c r="O126" s="2579">
        <v>47</v>
      </c>
      <c r="P126" s="2580"/>
      <c r="Q126" s="2581"/>
      <c r="R126" s="2581"/>
      <c r="S126" s="2581"/>
      <c r="T126" s="2581"/>
      <c r="U126" s="2581"/>
      <c r="V126" s="2581"/>
      <c r="W126" s="2581"/>
      <c r="X126" s="2582"/>
      <c r="Y126" s="2582"/>
      <c r="Z126" s="2582"/>
      <c r="AA126" s="2582"/>
      <c r="AB126" s="2582"/>
      <c r="AC126" s="2581"/>
      <c r="AD126" s="2583"/>
      <c r="AE126" s="2584"/>
      <c r="AF126" s="2581"/>
      <c r="AG126" s="2581"/>
      <c r="AH126" s="2585"/>
    </row>
    <row r="127" spans="1:34" s="2586" customFormat="1" ht="24" customHeight="1">
      <c r="A127" s="2566">
        <v>4</v>
      </c>
      <c r="B127" s="2566">
        <v>4</v>
      </c>
      <c r="C127" s="2567">
        <v>23090</v>
      </c>
      <c r="D127" s="2568" t="s">
        <v>3191</v>
      </c>
      <c r="E127" s="2569" t="s">
        <v>3161</v>
      </c>
      <c r="F127" s="2570">
        <v>125</v>
      </c>
      <c r="G127" s="2571" t="s">
        <v>3192</v>
      </c>
      <c r="H127" s="2572">
        <v>2280</v>
      </c>
      <c r="I127" s="2573">
        <f>IF(F127="","",INT(F127*H127))</f>
        <v>285000</v>
      </c>
      <c r="J127" s="2574" t="s">
        <v>3193</v>
      </c>
      <c r="K127" s="2575"/>
      <c r="L127" s="2576"/>
      <c r="M127" s="2577"/>
      <c r="N127" s="520"/>
      <c r="O127" s="2579">
        <v>0</v>
      </c>
      <c r="P127" s="2580"/>
      <c r="Q127" s="2581"/>
      <c r="R127" s="2581"/>
      <c r="S127" s="2581"/>
      <c r="T127" s="2581"/>
      <c r="U127" s="2581"/>
      <c r="V127" s="2581"/>
      <c r="W127" s="2581"/>
      <c r="X127" s="2582"/>
      <c r="Y127" s="2582"/>
      <c r="Z127" s="2582"/>
      <c r="AA127" s="2582"/>
      <c r="AB127" s="2582"/>
      <c r="AC127" s="2581"/>
      <c r="AD127" s="2583"/>
      <c r="AE127" s="2584"/>
      <c r="AF127" s="2581"/>
      <c r="AG127" s="2581"/>
      <c r="AH127" s="2585"/>
    </row>
    <row r="128" spans="1:34" s="2586" customFormat="1" ht="24" customHeight="1">
      <c r="A128" s="2566"/>
      <c r="B128" s="2566"/>
      <c r="C128" s="2567"/>
      <c r="D128" s="2568"/>
      <c r="E128" s="2569"/>
      <c r="F128" s="2570"/>
      <c r="G128" s="2571"/>
      <c r="H128" s="2572"/>
      <c r="I128" s="2573"/>
      <c r="J128" s="2574"/>
      <c r="K128" s="2575"/>
      <c r="L128" s="2576"/>
      <c r="M128" s="2577"/>
      <c r="N128" s="520"/>
      <c r="O128" s="2579"/>
      <c r="P128" s="2580"/>
      <c r="Q128" s="2581"/>
      <c r="R128" s="2581"/>
      <c r="S128" s="2581"/>
      <c r="T128" s="2581"/>
      <c r="U128" s="2581"/>
      <c r="V128" s="2581"/>
      <c r="W128" s="2581"/>
      <c r="X128" s="2582"/>
      <c r="Y128" s="2582"/>
      <c r="Z128" s="2582"/>
      <c r="AA128" s="2582"/>
      <c r="AB128" s="2582"/>
      <c r="AC128" s="2581"/>
      <c r="AD128" s="2583"/>
      <c r="AE128" s="2584"/>
      <c r="AF128" s="2581"/>
      <c r="AG128" s="2581"/>
      <c r="AH128" s="2585"/>
    </row>
    <row r="129" spans="1:34" s="2586" customFormat="1" ht="24" customHeight="1">
      <c r="A129" s="2566">
        <v>3</v>
      </c>
      <c r="B129" s="2566">
        <v>3</v>
      </c>
      <c r="C129" s="2567">
        <v>24071</v>
      </c>
      <c r="D129" s="2568" t="s">
        <v>3224</v>
      </c>
      <c r="E129" s="2569" t="s">
        <v>3225</v>
      </c>
      <c r="F129" s="2570">
        <v>0.08</v>
      </c>
      <c r="G129" s="2571" t="s">
        <v>3226</v>
      </c>
      <c r="H129" s="2572">
        <v>17100</v>
      </c>
      <c r="I129" s="2573">
        <f>IF(F129="","",INT(F129*H129))</f>
        <v>1368</v>
      </c>
      <c r="J129" s="2574"/>
      <c r="K129" s="2575"/>
      <c r="L129" s="2576"/>
      <c r="M129" s="2577" t="s">
        <v>3231</v>
      </c>
      <c r="N129" s="520"/>
      <c r="O129" s="2579">
        <v>0</v>
      </c>
      <c r="P129" s="2580"/>
      <c r="Q129" s="2581"/>
      <c r="R129" s="2581"/>
      <c r="S129" s="2581"/>
      <c r="T129" s="2581"/>
      <c r="U129" s="2581"/>
      <c r="V129" s="2581"/>
      <c r="W129" s="2581"/>
      <c r="X129" s="2582"/>
      <c r="Y129" s="2582"/>
      <c r="Z129" s="2582"/>
      <c r="AA129" s="2582"/>
      <c r="AB129" s="2582"/>
      <c r="AC129" s="2581"/>
      <c r="AD129" s="2583"/>
      <c r="AE129" s="2584"/>
      <c r="AF129" s="2581"/>
      <c r="AG129" s="2581"/>
      <c r="AH129" s="2585"/>
    </row>
    <row r="130" spans="1:34" s="2586" customFormat="1" ht="24" customHeight="1">
      <c r="A130" s="2566">
        <v>4</v>
      </c>
      <c r="B130" s="2566">
        <v>4</v>
      </c>
      <c r="C130" s="2567">
        <v>24060</v>
      </c>
      <c r="D130" s="2568" t="s">
        <v>3227</v>
      </c>
      <c r="E130" s="2569" t="s">
        <v>3228</v>
      </c>
      <c r="F130" s="2570">
        <v>-0.11</v>
      </c>
      <c r="G130" s="2571" t="s">
        <v>3229</v>
      </c>
      <c r="H130" s="2572">
        <v>17100</v>
      </c>
      <c r="I130" s="2573">
        <f>IF(F130="","",INT(F130*H130))</f>
        <v>-1881</v>
      </c>
      <c r="J130" s="2574"/>
      <c r="K130" s="2575"/>
      <c r="L130" s="2576"/>
      <c r="M130" s="2577" t="s">
        <v>3231</v>
      </c>
      <c r="N130" s="520"/>
      <c r="O130" s="2579">
        <v>0</v>
      </c>
      <c r="P130" s="2580"/>
      <c r="Q130" s="2581"/>
      <c r="R130" s="2581"/>
      <c r="S130" s="2581"/>
      <c r="T130" s="2581"/>
      <c r="U130" s="2581"/>
      <c r="V130" s="2581"/>
      <c r="W130" s="2581"/>
      <c r="X130" s="2582"/>
      <c r="Y130" s="2582"/>
      <c r="Z130" s="2582"/>
      <c r="AA130" s="2582"/>
      <c r="AB130" s="2582"/>
      <c r="AC130" s="2581"/>
      <c r="AD130" s="2583"/>
      <c r="AE130" s="2584"/>
      <c r="AF130" s="2581"/>
      <c r="AG130" s="2581"/>
      <c r="AH130" s="2585"/>
    </row>
    <row r="131" spans="1:34" s="2586" customFormat="1" ht="24" customHeight="1">
      <c r="A131" s="2566">
        <v>4</v>
      </c>
      <c r="B131" s="2566">
        <v>4</v>
      </c>
      <c r="C131" s="2567">
        <v>24065</v>
      </c>
      <c r="D131" s="2568" t="s">
        <v>3227</v>
      </c>
      <c r="E131" s="2569" t="s">
        <v>3230</v>
      </c>
      <c r="F131" s="2570">
        <v>0.04</v>
      </c>
      <c r="G131" s="2571" t="s">
        <v>3211</v>
      </c>
      <c r="H131" s="2572">
        <v>2000</v>
      </c>
      <c r="I131" s="2573">
        <f>IF(F131="","",INT(F131*H131))</f>
        <v>80</v>
      </c>
      <c r="J131" s="2574"/>
      <c r="K131" s="2575"/>
      <c r="L131" s="2576"/>
      <c r="M131" s="2577" t="s">
        <v>3231</v>
      </c>
      <c r="N131" s="520"/>
      <c r="O131" s="2579">
        <v>0</v>
      </c>
      <c r="P131" s="2580"/>
      <c r="Q131" s="2581"/>
      <c r="R131" s="2581"/>
      <c r="S131" s="2581"/>
      <c r="T131" s="2581"/>
      <c r="U131" s="2581"/>
      <c r="V131" s="2581"/>
      <c r="W131" s="2581"/>
      <c r="X131" s="2582"/>
      <c r="Y131" s="2582"/>
      <c r="Z131" s="2582"/>
      <c r="AA131" s="2582"/>
      <c r="AB131" s="2582"/>
      <c r="AC131" s="2581"/>
      <c r="AD131" s="2583"/>
      <c r="AE131" s="2584"/>
      <c r="AF131" s="2581"/>
      <c r="AG131" s="2581"/>
      <c r="AH131" s="2585"/>
    </row>
    <row r="132" spans="1:34" s="2586" customFormat="1" ht="24" customHeight="1">
      <c r="A132" s="2566"/>
      <c r="B132" s="2566"/>
      <c r="C132" s="2567"/>
      <c r="D132" s="2568"/>
      <c r="E132" s="2569"/>
      <c r="F132" s="2570"/>
      <c r="G132" s="2571"/>
      <c r="H132" s="2572"/>
      <c r="I132" s="2573"/>
      <c r="J132" s="2574"/>
      <c r="K132" s="2575"/>
      <c r="L132" s="2576"/>
      <c r="M132" s="2577"/>
      <c r="N132" s="520"/>
      <c r="O132" s="2579"/>
      <c r="P132" s="2580"/>
      <c r="Q132" s="2581"/>
      <c r="R132" s="2581"/>
      <c r="S132" s="2581"/>
      <c r="T132" s="2581"/>
      <c r="U132" s="2581"/>
      <c r="V132" s="2581"/>
      <c r="W132" s="2581"/>
      <c r="X132" s="2582"/>
      <c r="Y132" s="2582"/>
      <c r="Z132" s="2582"/>
      <c r="AA132" s="2582"/>
      <c r="AB132" s="2582"/>
      <c r="AC132" s="2581"/>
      <c r="AD132" s="2583"/>
      <c r="AE132" s="2584"/>
      <c r="AF132" s="2581"/>
      <c r="AG132" s="2581"/>
      <c r="AH132" s="2585"/>
    </row>
    <row r="133" spans="1:34" s="2586" customFormat="1" ht="24" customHeight="1">
      <c r="A133" s="2566">
        <v>3</v>
      </c>
      <c r="B133" s="2566">
        <v>3</v>
      </c>
      <c r="C133" s="2567">
        <v>20060</v>
      </c>
      <c r="D133" s="2568" t="s">
        <v>3206</v>
      </c>
      <c r="E133" s="2569" t="s">
        <v>3210</v>
      </c>
      <c r="F133" s="2570">
        <v>0.06</v>
      </c>
      <c r="G133" s="2571" t="s">
        <v>3211</v>
      </c>
      <c r="H133" s="2572">
        <v>920</v>
      </c>
      <c r="I133" s="101">
        <f t="shared" ref="I133:I138" si="6">IF(F133="","",INT(F133*H133))</f>
        <v>55</v>
      </c>
      <c r="J133" s="2574" t="s">
        <v>3212</v>
      </c>
      <c r="K133" s="2575"/>
      <c r="L133" s="2576"/>
      <c r="M133" s="2577"/>
      <c r="N133" s="520"/>
      <c r="O133" s="2579">
        <v>0</v>
      </c>
      <c r="P133" s="2580"/>
      <c r="Q133" s="2581"/>
      <c r="R133" s="2581"/>
      <c r="S133" s="2581"/>
      <c r="T133" s="2581"/>
      <c r="U133" s="2581"/>
      <c r="V133" s="2581"/>
      <c r="W133" s="2581"/>
      <c r="X133" s="2582"/>
      <c r="Y133" s="2582"/>
      <c r="Z133" s="2582"/>
      <c r="AA133" s="2582"/>
      <c r="AB133" s="2582"/>
      <c r="AC133" s="2581"/>
      <c r="AD133" s="2583"/>
      <c r="AE133" s="2584"/>
      <c r="AF133" s="2581"/>
      <c r="AG133" s="2581"/>
      <c r="AH133" s="2585"/>
    </row>
    <row r="134" spans="1:34" s="2586" customFormat="1" ht="24" customHeight="1">
      <c r="A134" s="2566">
        <v>4</v>
      </c>
      <c r="B134" s="2566">
        <v>4</v>
      </c>
      <c r="C134" s="2567">
        <v>20060</v>
      </c>
      <c r="D134" s="2568" t="s">
        <v>3213</v>
      </c>
      <c r="E134" s="2569" t="s">
        <v>3214</v>
      </c>
      <c r="F134" s="2570">
        <v>0.9</v>
      </c>
      <c r="G134" s="2571" t="s">
        <v>3215</v>
      </c>
      <c r="H134" s="2572">
        <v>920</v>
      </c>
      <c r="I134" s="101">
        <f t="shared" si="6"/>
        <v>828</v>
      </c>
      <c r="J134" s="2574" t="s">
        <v>3216</v>
      </c>
      <c r="K134" s="2575"/>
      <c r="L134" s="2576"/>
      <c r="M134" s="2577"/>
      <c r="N134" s="520"/>
      <c r="O134" s="2579">
        <v>0</v>
      </c>
      <c r="P134" s="2580"/>
      <c r="Q134" s="2581"/>
      <c r="R134" s="2581"/>
      <c r="S134" s="2581"/>
      <c r="T134" s="2581"/>
      <c r="U134" s="2581"/>
      <c r="V134" s="2581"/>
      <c r="W134" s="2581"/>
      <c r="X134" s="2582"/>
      <c r="Y134" s="2582"/>
      <c r="Z134" s="2582"/>
      <c r="AA134" s="2582"/>
      <c r="AB134" s="2582"/>
      <c r="AC134" s="2581"/>
      <c r="AD134" s="2583"/>
      <c r="AE134" s="2584"/>
      <c r="AF134" s="2581"/>
      <c r="AG134" s="2581"/>
      <c r="AH134" s="2585"/>
    </row>
    <row r="135" spans="1:34" s="2586" customFormat="1" ht="24" customHeight="1">
      <c r="A135" s="2566">
        <v>3</v>
      </c>
      <c r="B135" s="2566">
        <v>3</v>
      </c>
      <c r="C135" s="2567">
        <v>20061</v>
      </c>
      <c r="D135" s="2568" t="s">
        <v>3206</v>
      </c>
      <c r="E135" s="2569" t="s">
        <v>3207</v>
      </c>
      <c r="F135" s="2570">
        <v>0.14000000000000001</v>
      </c>
      <c r="G135" s="2571" t="s">
        <v>3208</v>
      </c>
      <c r="H135" s="2572">
        <f>10900*L135</f>
        <v>39240</v>
      </c>
      <c r="I135" s="101">
        <f t="shared" si="6"/>
        <v>5493</v>
      </c>
      <c r="J135" s="2574" t="s">
        <v>3209</v>
      </c>
      <c r="K135" s="2575"/>
      <c r="L135" s="2576">
        <v>3.6</v>
      </c>
      <c r="M135" s="2577"/>
      <c r="N135" s="520"/>
      <c r="O135" s="2579">
        <v>0</v>
      </c>
      <c r="P135" s="2580"/>
      <c r="Q135" s="2581"/>
      <c r="R135" s="2581"/>
      <c r="S135" s="2581"/>
      <c r="T135" s="2581"/>
      <c r="U135" s="2581"/>
      <c r="V135" s="2581"/>
      <c r="W135" s="2581"/>
      <c r="X135" s="2582"/>
      <c r="Y135" s="2582"/>
      <c r="Z135" s="2582"/>
      <c r="AA135" s="2582"/>
      <c r="AB135" s="2582"/>
      <c r="AC135" s="2581"/>
      <c r="AD135" s="2583"/>
      <c r="AE135" s="2584"/>
      <c r="AF135" s="2581"/>
      <c r="AG135" s="2581"/>
      <c r="AH135" s="2585"/>
    </row>
    <row r="136" spans="1:34" s="2586" customFormat="1" ht="24" customHeight="1">
      <c r="A136" s="2566">
        <v>4</v>
      </c>
      <c r="B136" s="2566">
        <v>4</v>
      </c>
      <c r="C136" s="2567">
        <v>20061</v>
      </c>
      <c r="D136" s="2568" t="s">
        <v>3206</v>
      </c>
      <c r="E136" s="2569" t="s">
        <v>3217</v>
      </c>
      <c r="F136" s="2570">
        <v>0.83</v>
      </c>
      <c r="G136" s="2571" t="s">
        <v>3208</v>
      </c>
      <c r="H136" s="2572">
        <f>10900*L136</f>
        <v>54500</v>
      </c>
      <c r="I136" s="101">
        <f t="shared" si="6"/>
        <v>45235</v>
      </c>
      <c r="J136" s="2574" t="s">
        <v>3209</v>
      </c>
      <c r="K136" s="2575"/>
      <c r="L136" s="2576">
        <v>5</v>
      </c>
      <c r="M136" s="2577"/>
      <c r="N136" s="520"/>
      <c r="O136" s="2579">
        <v>0</v>
      </c>
      <c r="P136" s="2580"/>
      <c r="Q136" s="2581"/>
      <c r="R136" s="2581"/>
      <c r="S136" s="2581"/>
      <c r="T136" s="2581"/>
      <c r="U136" s="2581"/>
      <c r="V136" s="2581"/>
      <c r="W136" s="2581"/>
      <c r="X136" s="2582"/>
      <c r="Y136" s="2582"/>
      <c r="Z136" s="2582"/>
      <c r="AA136" s="2582"/>
      <c r="AB136" s="2582"/>
      <c r="AC136" s="2581"/>
      <c r="AD136" s="2583"/>
      <c r="AE136" s="2584"/>
      <c r="AF136" s="2581"/>
      <c r="AG136" s="2581"/>
      <c r="AH136" s="2585"/>
    </row>
    <row r="137" spans="1:34" s="2586" customFormat="1" ht="24" customHeight="1">
      <c r="A137" s="2566">
        <v>3</v>
      </c>
      <c r="B137" s="2566">
        <v>3</v>
      </c>
      <c r="C137" s="2567">
        <v>24020</v>
      </c>
      <c r="D137" s="2568" t="s">
        <v>3218</v>
      </c>
      <c r="E137" s="2569" t="s">
        <v>3219</v>
      </c>
      <c r="F137" s="2570">
        <v>0.08</v>
      </c>
      <c r="G137" s="2571" t="s">
        <v>3220</v>
      </c>
      <c r="H137" s="2572">
        <v>3280</v>
      </c>
      <c r="I137" s="2573">
        <f t="shared" si="6"/>
        <v>262</v>
      </c>
      <c r="J137" s="2574"/>
      <c r="K137" s="2575"/>
      <c r="L137" s="2576"/>
      <c r="M137" s="2577"/>
      <c r="N137" s="520"/>
      <c r="O137" s="2579">
        <v>0</v>
      </c>
      <c r="P137" s="2580"/>
      <c r="Q137" s="2581"/>
      <c r="R137" s="2581"/>
      <c r="S137" s="2581"/>
      <c r="T137" s="2581"/>
      <c r="U137" s="2581"/>
      <c r="V137" s="2581"/>
      <c r="W137" s="2581"/>
      <c r="X137" s="2582"/>
      <c r="Y137" s="2582"/>
      <c r="Z137" s="2582"/>
      <c r="AA137" s="2582"/>
      <c r="AB137" s="2582"/>
      <c r="AC137" s="2581"/>
      <c r="AD137" s="2583"/>
      <c r="AE137" s="2584"/>
      <c r="AF137" s="2581"/>
      <c r="AG137" s="2581"/>
      <c r="AH137" s="2585"/>
    </row>
    <row r="138" spans="1:34" s="2586" customFormat="1" ht="24" customHeight="1">
      <c r="A138" s="2566">
        <v>4</v>
      </c>
      <c r="B138" s="2566">
        <v>4</v>
      </c>
      <c r="C138" s="2567">
        <v>24020</v>
      </c>
      <c r="D138" s="2568" t="s">
        <v>3221</v>
      </c>
      <c r="E138" s="2569" t="s">
        <v>3222</v>
      </c>
      <c r="F138" s="2570">
        <v>-0.06</v>
      </c>
      <c r="G138" s="2571" t="s">
        <v>3223</v>
      </c>
      <c r="H138" s="2572">
        <v>4410</v>
      </c>
      <c r="I138" s="2573">
        <f t="shared" si="6"/>
        <v>-265</v>
      </c>
      <c r="J138" s="2574"/>
      <c r="K138" s="2575"/>
      <c r="L138" s="2576"/>
      <c r="M138" s="2577"/>
      <c r="N138" s="520"/>
      <c r="O138" s="2579">
        <v>0</v>
      </c>
      <c r="P138" s="2580"/>
      <c r="Q138" s="2581"/>
      <c r="R138" s="2581"/>
      <c r="S138" s="2581"/>
      <c r="T138" s="2581"/>
      <c r="U138" s="2581"/>
      <c r="V138" s="2581"/>
      <c r="W138" s="2581"/>
      <c r="X138" s="2582"/>
      <c r="Y138" s="2582"/>
      <c r="Z138" s="2582"/>
      <c r="AA138" s="2582"/>
      <c r="AB138" s="2582"/>
      <c r="AC138" s="2581"/>
      <c r="AD138" s="2583"/>
      <c r="AE138" s="2584"/>
      <c r="AF138" s="2581"/>
      <c r="AG138" s="2581"/>
      <c r="AH138" s="2585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88</v>
      </c>
      <c r="I139" s="105">
        <f>SUM(I121:I138)</f>
        <v>439205</v>
      </c>
      <c r="J139" s="822" t="str">
        <f>IF(C120="部分撤去工事","）うち費用",")")</f>
        <v>）うち費用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10</v>
      </c>
      <c r="G140" s="122" t="s">
        <v>87</v>
      </c>
      <c r="H140" s="123">
        <f>+H117</f>
        <v>35</v>
      </c>
      <c r="I140" s="123"/>
      <c r="M140" s="33" t="str">
        <f>IF(A142="","EOL","")</f>
        <v>EOL</v>
      </c>
      <c r="N140" s="1">
        <f>+F140</f>
        <v>10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2" spans="1:34" ht="41.25" customHeight="1">
      <c r="D142" s="272"/>
    </row>
    <row r="143" spans="1:34" ht="24" customHeight="1">
      <c r="D143" s="160"/>
    </row>
    <row r="144" spans="1:34" ht="24" customHeight="1">
      <c r="D144" s="272"/>
    </row>
    <row r="145" spans="4:4" ht="24" customHeight="1">
      <c r="D145" s="272"/>
    </row>
  </sheetData>
  <mergeCells count="24">
    <mergeCell ref="O3:AH3"/>
    <mergeCell ref="O26:AH26"/>
    <mergeCell ref="J28:L28"/>
    <mergeCell ref="J5:L5"/>
    <mergeCell ref="C3:L3"/>
    <mergeCell ref="C26:L26"/>
    <mergeCell ref="J4:L4"/>
    <mergeCell ref="J27:L27"/>
    <mergeCell ref="C49:L49"/>
    <mergeCell ref="O49:AH49"/>
    <mergeCell ref="J50:L50"/>
    <mergeCell ref="J51:L51"/>
    <mergeCell ref="C72:L72"/>
    <mergeCell ref="O72:AH72"/>
    <mergeCell ref="J73:L73"/>
    <mergeCell ref="J74:L74"/>
    <mergeCell ref="C95:L95"/>
    <mergeCell ref="O95:AH95"/>
    <mergeCell ref="J96:L96"/>
    <mergeCell ref="J97:L97"/>
    <mergeCell ref="C118:L118"/>
    <mergeCell ref="O118:AH118"/>
    <mergeCell ref="J119:L119"/>
    <mergeCell ref="J120:L12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" xr:uid="{00000000-0002-0000-05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" max="16383" man="1"/>
  </rowBreaks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B1687"/>
  <sheetViews>
    <sheetView workbookViewId="0">
      <selection activeCell="B22" sqref="B22"/>
    </sheetView>
  </sheetViews>
  <sheetFormatPr baseColWidth="10" defaultColWidth="8.83203125" defaultRowHeight="14"/>
  <cols>
    <col min="1" max="1" width="9.5" bestFit="1" customWidth="1"/>
    <col min="2" max="2" width="93.83203125" bestFit="1" customWidth="1"/>
  </cols>
  <sheetData>
    <row r="1" spans="1:2">
      <c r="A1" t="s">
        <v>2394</v>
      </c>
      <c r="B1" t="s">
        <v>2395</v>
      </c>
    </row>
    <row r="2" spans="1:2">
      <c r="A2" s="757">
        <v>10100101</v>
      </c>
      <c r="B2" t="s">
        <v>731</v>
      </c>
    </row>
    <row r="3" spans="1:2">
      <c r="A3" s="757">
        <v>10100201</v>
      </c>
      <c r="B3" t="s">
        <v>732</v>
      </c>
    </row>
    <row r="4" spans="1:2">
      <c r="A4" s="757">
        <v>10100301</v>
      </c>
      <c r="B4" t="s">
        <v>733</v>
      </c>
    </row>
    <row r="5" spans="1:2">
      <c r="A5" s="757">
        <v>10100401</v>
      </c>
      <c r="B5" t="s">
        <v>734</v>
      </c>
    </row>
    <row r="6" spans="1:2">
      <c r="A6" s="757">
        <v>10100501</v>
      </c>
      <c r="B6" t="s">
        <v>735</v>
      </c>
    </row>
    <row r="7" spans="1:2">
      <c r="A7" s="757">
        <v>10100601</v>
      </c>
      <c r="B7" t="s">
        <v>736</v>
      </c>
    </row>
    <row r="8" spans="1:2">
      <c r="A8" s="757">
        <v>10199901</v>
      </c>
      <c r="B8" t="s">
        <v>737</v>
      </c>
    </row>
    <row r="9" spans="1:2">
      <c r="A9" s="757">
        <v>10500701</v>
      </c>
      <c r="B9" t="s">
        <v>738</v>
      </c>
    </row>
    <row r="10" spans="1:2">
      <c r="A10" s="757">
        <v>10500702</v>
      </c>
      <c r="B10" t="s">
        <v>739</v>
      </c>
    </row>
    <row r="11" spans="1:2">
      <c r="A11" s="757">
        <v>10500703</v>
      </c>
      <c r="B11" t="s">
        <v>740</v>
      </c>
    </row>
    <row r="12" spans="1:2">
      <c r="A12" s="757">
        <v>10500704</v>
      </c>
      <c r="B12" t="s">
        <v>741</v>
      </c>
    </row>
    <row r="13" spans="1:2">
      <c r="A13" s="757">
        <v>10500705</v>
      </c>
      <c r="B13" t="s">
        <v>742</v>
      </c>
    </row>
    <row r="14" spans="1:2">
      <c r="A14" s="757">
        <v>10500706</v>
      </c>
      <c r="B14" t="s">
        <v>743</v>
      </c>
    </row>
    <row r="15" spans="1:2">
      <c r="A15" s="757">
        <v>10500707</v>
      </c>
      <c r="B15" t="s">
        <v>744</v>
      </c>
    </row>
    <row r="16" spans="1:2">
      <c r="A16" s="757">
        <v>10500708</v>
      </c>
      <c r="B16" t="s">
        <v>745</v>
      </c>
    </row>
    <row r="17" spans="1:2">
      <c r="A17" s="757">
        <v>10500709</v>
      </c>
      <c r="B17" t="s">
        <v>746</v>
      </c>
    </row>
    <row r="18" spans="1:2">
      <c r="A18" s="757">
        <v>10500801</v>
      </c>
      <c r="B18" t="s">
        <v>763</v>
      </c>
    </row>
    <row r="19" spans="1:2">
      <c r="A19" s="757">
        <v>10500802</v>
      </c>
      <c r="B19" t="s">
        <v>764</v>
      </c>
    </row>
    <row r="20" spans="1:2">
      <c r="A20" s="757">
        <v>10500803</v>
      </c>
      <c r="B20" t="s">
        <v>765</v>
      </c>
    </row>
    <row r="21" spans="1:2">
      <c r="A21" s="757">
        <v>10500804</v>
      </c>
      <c r="B21" t="s">
        <v>766</v>
      </c>
    </row>
    <row r="22" spans="1:2">
      <c r="A22" s="757">
        <v>10500805</v>
      </c>
      <c r="B22" t="s">
        <v>767</v>
      </c>
    </row>
    <row r="23" spans="1:2">
      <c r="A23" s="757">
        <v>10500806</v>
      </c>
      <c r="B23" t="s">
        <v>768</v>
      </c>
    </row>
    <row r="24" spans="1:2">
      <c r="A24" s="757">
        <v>10500807</v>
      </c>
      <c r="B24" t="s">
        <v>769</v>
      </c>
    </row>
    <row r="25" spans="1:2">
      <c r="A25">
        <v>10500808</v>
      </c>
      <c r="B25" t="s">
        <v>770</v>
      </c>
    </row>
    <row r="26" spans="1:2">
      <c r="A26">
        <v>10500809</v>
      </c>
      <c r="B26" t="s">
        <v>771</v>
      </c>
    </row>
    <row r="27" spans="1:2">
      <c r="A27" s="757">
        <v>10500901</v>
      </c>
      <c r="B27" t="s">
        <v>788</v>
      </c>
    </row>
    <row r="28" spans="1:2">
      <c r="A28" s="757">
        <v>10500902</v>
      </c>
      <c r="B28" t="s">
        <v>789</v>
      </c>
    </row>
    <row r="29" spans="1:2">
      <c r="A29" s="757">
        <v>10500903</v>
      </c>
      <c r="B29" t="s">
        <v>790</v>
      </c>
    </row>
    <row r="30" spans="1:2">
      <c r="A30" s="757">
        <v>10500904</v>
      </c>
      <c r="B30" t="s">
        <v>791</v>
      </c>
    </row>
    <row r="31" spans="1:2">
      <c r="A31" s="757">
        <v>10500905</v>
      </c>
      <c r="B31" t="s">
        <v>792</v>
      </c>
    </row>
    <row r="32" spans="1:2">
      <c r="A32" s="757">
        <v>10500906</v>
      </c>
      <c r="B32" t="s">
        <v>793</v>
      </c>
    </row>
    <row r="33" spans="1:2">
      <c r="A33" s="757">
        <v>10500907</v>
      </c>
      <c r="B33" t="s">
        <v>794</v>
      </c>
    </row>
    <row r="34" spans="1:2">
      <c r="A34" s="757">
        <v>10500908</v>
      </c>
      <c r="B34" t="s">
        <v>795</v>
      </c>
    </row>
    <row r="35" spans="1:2">
      <c r="A35">
        <v>10500909</v>
      </c>
      <c r="B35" t="s">
        <v>796</v>
      </c>
    </row>
    <row r="36" spans="1:2">
      <c r="A36">
        <v>10501001</v>
      </c>
      <c r="B36" t="s">
        <v>813</v>
      </c>
    </row>
    <row r="37" spans="1:2">
      <c r="A37">
        <v>10501002</v>
      </c>
      <c r="B37" t="s">
        <v>814</v>
      </c>
    </row>
    <row r="38" spans="1:2">
      <c r="A38">
        <v>10501003</v>
      </c>
      <c r="B38" t="s">
        <v>815</v>
      </c>
    </row>
    <row r="39" spans="1:2">
      <c r="A39">
        <v>10501004</v>
      </c>
      <c r="B39" t="s">
        <v>816</v>
      </c>
    </row>
    <row r="40" spans="1:2">
      <c r="A40">
        <v>10501005</v>
      </c>
      <c r="B40" t="s">
        <v>817</v>
      </c>
    </row>
    <row r="41" spans="1:2">
      <c r="A41">
        <v>10501006</v>
      </c>
      <c r="B41" t="s">
        <v>818</v>
      </c>
    </row>
    <row r="42" spans="1:2">
      <c r="A42">
        <v>10501007</v>
      </c>
      <c r="B42" t="s">
        <v>819</v>
      </c>
    </row>
    <row r="43" spans="1:2">
      <c r="A43">
        <v>10501008</v>
      </c>
      <c r="B43" t="s">
        <v>820</v>
      </c>
    </row>
    <row r="44" spans="1:2">
      <c r="A44">
        <v>10501009</v>
      </c>
      <c r="B44" t="s">
        <v>821</v>
      </c>
    </row>
    <row r="45" spans="1:2">
      <c r="A45" s="757">
        <v>10501101</v>
      </c>
      <c r="B45" t="s">
        <v>838</v>
      </c>
    </row>
    <row r="46" spans="1:2">
      <c r="A46" s="757">
        <v>10501102</v>
      </c>
      <c r="B46" t="s">
        <v>839</v>
      </c>
    </row>
    <row r="47" spans="1:2">
      <c r="A47" s="757">
        <v>10501103</v>
      </c>
      <c r="B47" t="s">
        <v>840</v>
      </c>
    </row>
    <row r="48" spans="1:2">
      <c r="A48" s="757">
        <v>10501104</v>
      </c>
      <c r="B48" t="s">
        <v>841</v>
      </c>
    </row>
    <row r="49" spans="1:2">
      <c r="A49" s="757">
        <v>10501105</v>
      </c>
      <c r="B49" t="s">
        <v>842</v>
      </c>
    </row>
    <row r="50" spans="1:2">
      <c r="A50" s="757">
        <v>10501106</v>
      </c>
      <c r="B50" t="s">
        <v>843</v>
      </c>
    </row>
    <row r="51" spans="1:2">
      <c r="A51" s="757">
        <v>10501107</v>
      </c>
      <c r="B51" t="s">
        <v>844</v>
      </c>
    </row>
    <row r="52" spans="1:2">
      <c r="A52">
        <v>10501108</v>
      </c>
      <c r="B52" t="s">
        <v>845</v>
      </c>
    </row>
    <row r="53" spans="1:2">
      <c r="A53">
        <v>10501109</v>
      </c>
      <c r="B53" t="s">
        <v>846</v>
      </c>
    </row>
    <row r="54" spans="1:2">
      <c r="A54">
        <v>10501201</v>
      </c>
      <c r="B54" t="s">
        <v>863</v>
      </c>
    </row>
    <row r="55" spans="1:2">
      <c r="A55">
        <v>10501202</v>
      </c>
      <c r="B55" t="s">
        <v>864</v>
      </c>
    </row>
    <row r="56" spans="1:2">
      <c r="A56">
        <v>10501203</v>
      </c>
      <c r="B56" t="s">
        <v>865</v>
      </c>
    </row>
    <row r="57" spans="1:2">
      <c r="A57">
        <v>10501204</v>
      </c>
      <c r="B57" t="s">
        <v>866</v>
      </c>
    </row>
    <row r="58" spans="1:2">
      <c r="A58">
        <v>10501205</v>
      </c>
      <c r="B58" t="s">
        <v>867</v>
      </c>
    </row>
    <row r="59" spans="1:2">
      <c r="A59">
        <v>10501206</v>
      </c>
      <c r="B59" t="s">
        <v>868</v>
      </c>
    </row>
    <row r="60" spans="1:2">
      <c r="A60">
        <v>10501207</v>
      </c>
      <c r="B60" t="s">
        <v>869</v>
      </c>
    </row>
    <row r="61" spans="1:2">
      <c r="A61">
        <v>10501208</v>
      </c>
      <c r="B61" t="s">
        <v>870</v>
      </c>
    </row>
    <row r="62" spans="1:2">
      <c r="A62">
        <v>10501209</v>
      </c>
      <c r="B62" t="s">
        <v>871</v>
      </c>
    </row>
    <row r="63" spans="1:2">
      <c r="A63">
        <v>10501301</v>
      </c>
      <c r="B63" t="s">
        <v>888</v>
      </c>
    </row>
    <row r="64" spans="1:2">
      <c r="A64">
        <v>10501302</v>
      </c>
      <c r="B64" t="s">
        <v>889</v>
      </c>
    </row>
    <row r="65" spans="1:2">
      <c r="A65">
        <v>10501303</v>
      </c>
      <c r="B65" t="s">
        <v>890</v>
      </c>
    </row>
    <row r="66" spans="1:2">
      <c r="A66">
        <v>10501304</v>
      </c>
      <c r="B66" t="s">
        <v>891</v>
      </c>
    </row>
    <row r="67" spans="1:2">
      <c r="A67">
        <v>10501305</v>
      </c>
      <c r="B67" t="s">
        <v>892</v>
      </c>
    </row>
    <row r="68" spans="1:2">
      <c r="A68">
        <v>10501306</v>
      </c>
      <c r="B68" t="s">
        <v>893</v>
      </c>
    </row>
    <row r="69" spans="1:2">
      <c r="A69">
        <v>10501307</v>
      </c>
      <c r="B69" t="s">
        <v>894</v>
      </c>
    </row>
    <row r="70" spans="1:2">
      <c r="A70">
        <v>10501308</v>
      </c>
      <c r="B70" t="s">
        <v>895</v>
      </c>
    </row>
    <row r="71" spans="1:2">
      <c r="A71">
        <v>10501309</v>
      </c>
      <c r="B71" t="s">
        <v>896</v>
      </c>
    </row>
    <row r="72" spans="1:2">
      <c r="A72">
        <v>10599901</v>
      </c>
      <c r="B72" t="s">
        <v>913</v>
      </c>
    </row>
    <row r="73" spans="1:2">
      <c r="A73">
        <v>10599902</v>
      </c>
      <c r="B73" t="s">
        <v>914</v>
      </c>
    </row>
    <row r="74" spans="1:2">
      <c r="A74">
        <v>10599903</v>
      </c>
      <c r="B74" t="s">
        <v>915</v>
      </c>
    </row>
    <row r="75" spans="1:2">
      <c r="A75">
        <v>10599904</v>
      </c>
      <c r="B75" t="s">
        <v>916</v>
      </c>
    </row>
    <row r="76" spans="1:2">
      <c r="A76">
        <v>10599905</v>
      </c>
      <c r="B76" t="s">
        <v>917</v>
      </c>
    </row>
    <row r="77" spans="1:2">
      <c r="A77">
        <v>10599906</v>
      </c>
      <c r="B77" t="s">
        <v>918</v>
      </c>
    </row>
    <row r="78" spans="1:2">
      <c r="A78">
        <v>10599907</v>
      </c>
      <c r="B78" t="s">
        <v>919</v>
      </c>
    </row>
    <row r="79" spans="1:2">
      <c r="A79">
        <v>10599908</v>
      </c>
      <c r="B79" t="s">
        <v>920</v>
      </c>
    </row>
    <row r="80" spans="1:2">
      <c r="A80">
        <v>10599909</v>
      </c>
      <c r="B80" t="s">
        <v>921</v>
      </c>
    </row>
    <row r="81" spans="1:2">
      <c r="A81">
        <v>10599910</v>
      </c>
      <c r="B81" t="s">
        <v>922</v>
      </c>
    </row>
    <row r="82" spans="1:2">
      <c r="A82">
        <v>10599911</v>
      </c>
      <c r="B82" t="s">
        <v>923</v>
      </c>
    </row>
    <row r="83" spans="1:2">
      <c r="A83">
        <v>10599912</v>
      </c>
      <c r="B83" t="s">
        <v>924</v>
      </c>
    </row>
    <row r="84" spans="1:2">
      <c r="A84">
        <v>10599913</v>
      </c>
      <c r="B84" t="s">
        <v>925</v>
      </c>
    </row>
    <row r="85" spans="1:2">
      <c r="A85">
        <v>10599914</v>
      </c>
      <c r="B85" t="s">
        <v>926</v>
      </c>
    </row>
    <row r="86" spans="1:2">
      <c r="A86">
        <v>10599915</v>
      </c>
      <c r="B86" t="s">
        <v>927</v>
      </c>
    </row>
    <row r="87" spans="1:2">
      <c r="A87">
        <v>10599916</v>
      </c>
      <c r="B87" t="s">
        <v>928</v>
      </c>
    </row>
    <row r="88" spans="1:2">
      <c r="A88">
        <v>10599917</v>
      </c>
      <c r="B88" t="s">
        <v>929</v>
      </c>
    </row>
    <row r="89" spans="1:2">
      <c r="A89">
        <v>10599918</v>
      </c>
      <c r="B89" t="s">
        <v>930</v>
      </c>
    </row>
    <row r="90" spans="1:2">
      <c r="A90">
        <v>10599919</v>
      </c>
      <c r="B90" t="s">
        <v>931</v>
      </c>
    </row>
    <row r="91" spans="1:2">
      <c r="A91">
        <v>10599920</v>
      </c>
      <c r="B91" t="s">
        <v>932</v>
      </c>
    </row>
    <row r="92" spans="1:2">
      <c r="A92">
        <v>10599921</v>
      </c>
      <c r="B92" t="s">
        <v>933</v>
      </c>
    </row>
    <row r="93" spans="1:2">
      <c r="A93">
        <v>10599922</v>
      </c>
      <c r="B93" t="s">
        <v>934</v>
      </c>
    </row>
    <row r="94" spans="1:2">
      <c r="A94">
        <v>10599923</v>
      </c>
      <c r="B94" t="s">
        <v>935</v>
      </c>
    </row>
    <row r="95" spans="1:2">
      <c r="A95">
        <v>10599924</v>
      </c>
      <c r="B95" t="s">
        <v>936</v>
      </c>
    </row>
    <row r="96" spans="1:2">
      <c r="A96">
        <v>10599925</v>
      </c>
      <c r="B96" t="s">
        <v>937</v>
      </c>
    </row>
    <row r="97" spans="1:2">
      <c r="A97">
        <v>10599926</v>
      </c>
      <c r="B97" t="s">
        <v>938</v>
      </c>
    </row>
    <row r="98" spans="1:2">
      <c r="A98">
        <v>10599927</v>
      </c>
      <c r="B98" t="s">
        <v>939</v>
      </c>
    </row>
    <row r="99" spans="1:2">
      <c r="A99">
        <v>10500710</v>
      </c>
      <c r="B99" t="s">
        <v>747</v>
      </c>
    </row>
    <row r="100" spans="1:2">
      <c r="A100">
        <v>10500711</v>
      </c>
      <c r="B100" t="s">
        <v>748</v>
      </c>
    </row>
    <row r="101" spans="1:2">
      <c r="A101">
        <v>10500712</v>
      </c>
      <c r="B101" t="s">
        <v>749</v>
      </c>
    </row>
    <row r="102" spans="1:2">
      <c r="A102">
        <v>10500713</v>
      </c>
      <c r="B102" t="s">
        <v>750</v>
      </c>
    </row>
    <row r="103" spans="1:2">
      <c r="A103">
        <v>10500714</v>
      </c>
      <c r="B103" t="s">
        <v>751</v>
      </c>
    </row>
    <row r="104" spans="1:2">
      <c r="A104">
        <v>10500715</v>
      </c>
      <c r="B104" t="s">
        <v>752</v>
      </c>
    </row>
    <row r="105" spans="1:2">
      <c r="A105">
        <v>10500716</v>
      </c>
      <c r="B105" t="s">
        <v>753</v>
      </c>
    </row>
    <row r="106" spans="1:2">
      <c r="A106">
        <v>10500717</v>
      </c>
      <c r="B106" t="s">
        <v>754</v>
      </c>
    </row>
    <row r="107" spans="1:2">
      <c r="A107">
        <v>10500718</v>
      </c>
      <c r="B107" t="s">
        <v>755</v>
      </c>
    </row>
    <row r="108" spans="1:2">
      <c r="A108">
        <v>10500719</v>
      </c>
      <c r="B108" t="s">
        <v>756</v>
      </c>
    </row>
    <row r="109" spans="1:2">
      <c r="A109">
        <v>10500720</v>
      </c>
      <c r="B109" t="s">
        <v>757</v>
      </c>
    </row>
    <row r="110" spans="1:2">
      <c r="A110">
        <v>10500721</v>
      </c>
      <c r="B110" t="s">
        <v>758</v>
      </c>
    </row>
    <row r="111" spans="1:2">
      <c r="A111">
        <v>10500722</v>
      </c>
      <c r="B111" t="s">
        <v>759</v>
      </c>
    </row>
    <row r="112" spans="1:2">
      <c r="A112">
        <v>10500723</v>
      </c>
      <c r="B112" t="s">
        <v>760</v>
      </c>
    </row>
    <row r="113" spans="1:2">
      <c r="A113">
        <v>10500724</v>
      </c>
      <c r="B113" t="s">
        <v>761</v>
      </c>
    </row>
    <row r="114" spans="1:2">
      <c r="A114">
        <v>10500725</v>
      </c>
      <c r="B114" t="s">
        <v>762</v>
      </c>
    </row>
    <row r="115" spans="1:2">
      <c r="A115">
        <v>10500810</v>
      </c>
      <c r="B115" t="s">
        <v>772</v>
      </c>
    </row>
    <row r="116" spans="1:2">
      <c r="A116">
        <v>10500811</v>
      </c>
      <c r="B116" t="s">
        <v>773</v>
      </c>
    </row>
    <row r="117" spans="1:2">
      <c r="A117">
        <v>10500812</v>
      </c>
      <c r="B117" t="s">
        <v>774</v>
      </c>
    </row>
    <row r="118" spans="1:2">
      <c r="A118">
        <v>10500813</v>
      </c>
      <c r="B118" t="s">
        <v>775</v>
      </c>
    </row>
    <row r="119" spans="1:2">
      <c r="A119">
        <v>10500814</v>
      </c>
      <c r="B119" t="s">
        <v>776</v>
      </c>
    </row>
    <row r="120" spans="1:2">
      <c r="A120">
        <v>10500815</v>
      </c>
      <c r="B120" t="s">
        <v>777</v>
      </c>
    </row>
    <row r="121" spans="1:2">
      <c r="A121">
        <v>10500816</v>
      </c>
      <c r="B121" t="s">
        <v>778</v>
      </c>
    </row>
    <row r="122" spans="1:2">
      <c r="A122">
        <v>10500817</v>
      </c>
      <c r="B122" t="s">
        <v>779</v>
      </c>
    </row>
    <row r="123" spans="1:2">
      <c r="A123">
        <v>10500818</v>
      </c>
      <c r="B123" t="s">
        <v>780</v>
      </c>
    </row>
    <row r="124" spans="1:2">
      <c r="A124">
        <v>10500819</v>
      </c>
      <c r="B124" t="s">
        <v>781</v>
      </c>
    </row>
    <row r="125" spans="1:2">
      <c r="A125">
        <v>10500820</v>
      </c>
      <c r="B125" t="s">
        <v>782</v>
      </c>
    </row>
    <row r="126" spans="1:2">
      <c r="A126">
        <v>10500821</v>
      </c>
      <c r="B126" t="s">
        <v>783</v>
      </c>
    </row>
    <row r="127" spans="1:2">
      <c r="A127">
        <v>10500822</v>
      </c>
      <c r="B127" t="s">
        <v>784</v>
      </c>
    </row>
    <row r="128" spans="1:2">
      <c r="A128">
        <v>10500823</v>
      </c>
      <c r="B128" t="s">
        <v>785</v>
      </c>
    </row>
    <row r="129" spans="1:2">
      <c r="A129">
        <v>10500824</v>
      </c>
      <c r="B129" t="s">
        <v>786</v>
      </c>
    </row>
    <row r="130" spans="1:2">
      <c r="A130">
        <v>10500825</v>
      </c>
      <c r="B130" t="s">
        <v>787</v>
      </c>
    </row>
    <row r="131" spans="1:2">
      <c r="A131">
        <v>10500910</v>
      </c>
      <c r="B131" t="s">
        <v>797</v>
      </c>
    </row>
    <row r="132" spans="1:2">
      <c r="A132">
        <v>10500911</v>
      </c>
      <c r="B132" t="s">
        <v>798</v>
      </c>
    </row>
    <row r="133" spans="1:2">
      <c r="A133">
        <v>10500912</v>
      </c>
      <c r="B133" t="s">
        <v>799</v>
      </c>
    </row>
    <row r="134" spans="1:2">
      <c r="A134">
        <v>10500913</v>
      </c>
      <c r="B134" t="s">
        <v>800</v>
      </c>
    </row>
    <row r="135" spans="1:2">
      <c r="A135">
        <v>10500914</v>
      </c>
      <c r="B135" t="s">
        <v>801</v>
      </c>
    </row>
    <row r="136" spans="1:2">
      <c r="A136">
        <v>10500915</v>
      </c>
      <c r="B136" t="s">
        <v>802</v>
      </c>
    </row>
    <row r="137" spans="1:2">
      <c r="A137">
        <v>10500916</v>
      </c>
      <c r="B137" t="s">
        <v>803</v>
      </c>
    </row>
    <row r="138" spans="1:2">
      <c r="A138">
        <v>10500917</v>
      </c>
      <c r="B138" t="s">
        <v>804</v>
      </c>
    </row>
    <row r="139" spans="1:2">
      <c r="A139">
        <v>10500918</v>
      </c>
      <c r="B139" t="s">
        <v>805</v>
      </c>
    </row>
    <row r="140" spans="1:2">
      <c r="A140">
        <v>10500919</v>
      </c>
      <c r="B140" t="s">
        <v>806</v>
      </c>
    </row>
    <row r="141" spans="1:2">
      <c r="A141">
        <v>10500920</v>
      </c>
      <c r="B141" t="s">
        <v>807</v>
      </c>
    </row>
    <row r="142" spans="1:2">
      <c r="A142">
        <v>10500921</v>
      </c>
      <c r="B142" t="s">
        <v>808</v>
      </c>
    </row>
    <row r="143" spans="1:2">
      <c r="A143">
        <v>10500922</v>
      </c>
      <c r="B143" t="s">
        <v>809</v>
      </c>
    </row>
    <row r="144" spans="1:2">
      <c r="A144">
        <v>10500923</v>
      </c>
      <c r="B144" t="s">
        <v>810</v>
      </c>
    </row>
    <row r="145" spans="1:2">
      <c r="A145">
        <v>10500924</v>
      </c>
      <c r="B145" t="s">
        <v>811</v>
      </c>
    </row>
    <row r="146" spans="1:2">
      <c r="A146">
        <v>10500925</v>
      </c>
      <c r="B146" t="s">
        <v>812</v>
      </c>
    </row>
    <row r="147" spans="1:2">
      <c r="A147">
        <v>10501010</v>
      </c>
      <c r="B147" t="s">
        <v>822</v>
      </c>
    </row>
    <row r="148" spans="1:2">
      <c r="A148">
        <v>10501011</v>
      </c>
      <c r="B148" t="s">
        <v>823</v>
      </c>
    </row>
    <row r="149" spans="1:2">
      <c r="A149">
        <v>10501012</v>
      </c>
      <c r="B149" t="s">
        <v>824</v>
      </c>
    </row>
    <row r="150" spans="1:2">
      <c r="A150">
        <v>10501013</v>
      </c>
      <c r="B150" t="s">
        <v>825</v>
      </c>
    </row>
    <row r="151" spans="1:2">
      <c r="A151">
        <v>10501014</v>
      </c>
      <c r="B151" t="s">
        <v>826</v>
      </c>
    </row>
    <row r="152" spans="1:2">
      <c r="A152">
        <v>10501015</v>
      </c>
      <c r="B152" t="s">
        <v>827</v>
      </c>
    </row>
    <row r="153" spans="1:2">
      <c r="A153">
        <v>10501016</v>
      </c>
      <c r="B153" t="s">
        <v>828</v>
      </c>
    </row>
    <row r="154" spans="1:2">
      <c r="A154">
        <v>10501017</v>
      </c>
      <c r="B154" t="s">
        <v>829</v>
      </c>
    </row>
    <row r="155" spans="1:2">
      <c r="A155">
        <v>10501018</v>
      </c>
      <c r="B155" t="s">
        <v>830</v>
      </c>
    </row>
    <row r="156" spans="1:2">
      <c r="A156">
        <v>10501019</v>
      </c>
      <c r="B156" t="s">
        <v>831</v>
      </c>
    </row>
    <row r="157" spans="1:2">
      <c r="A157">
        <v>10501020</v>
      </c>
      <c r="B157" t="s">
        <v>832</v>
      </c>
    </row>
    <row r="158" spans="1:2">
      <c r="A158">
        <v>10501021</v>
      </c>
      <c r="B158" t="s">
        <v>833</v>
      </c>
    </row>
    <row r="159" spans="1:2">
      <c r="A159">
        <v>10501022</v>
      </c>
      <c r="B159" t="s">
        <v>834</v>
      </c>
    </row>
    <row r="160" spans="1:2">
      <c r="A160">
        <v>10501023</v>
      </c>
      <c r="B160" t="s">
        <v>835</v>
      </c>
    </row>
    <row r="161" spans="1:2">
      <c r="A161">
        <v>10501024</v>
      </c>
      <c r="B161" t="s">
        <v>836</v>
      </c>
    </row>
    <row r="162" spans="1:2">
      <c r="A162">
        <v>10501025</v>
      </c>
      <c r="B162" t="s">
        <v>837</v>
      </c>
    </row>
    <row r="163" spans="1:2">
      <c r="A163">
        <v>10501110</v>
      </c>
      <c r="B163" t="s">
        <v>847</v>
      </c>
    </row>
    <row r="164" spans="1:2">
      <c r="A164">
        <v>10501111</v>
      </c>
      <c r="B164" t="s">
        <v>848</v>
      </c>
    </row>
    <row r="165" spans="1:2">
      <c r="A165">
        <v>10501112</v>
      </c>
      <c r="B165" t="s">
        <v>849</v>
      </c>
    </row>
    <row r="166" spans="1:2">
      <c r="A166">
        <v>10501113</v>
      </c>
      <c r="B166" t="s">
        <v>850</v>
      </c>
    </row>
    <row r="167" spans="1:2">
      <c r="A167">
        <v>10501114</v>
      </c>
      <c r="B167" t="s">
        <v>851</v>
      </c>
    </row>
    <row r="168" spans="1:2">
      <c r="A168">
        <v>10501115</v>
      </c>
      <c r="B168" t="s">
        <v>852</v>
      </c>
    </row>
    <row r="169" spans="1:2">
      <c r="A169">
        <v>10501116</v>
      </c>
      <c r="B169" t="s">
        <v>853</v>
      </c>
    </row>
    <row r="170" spans="1:2">
      <c r="A170">
        <v>10501117</v>
      </c>
      <c r="B170" t="s">
        <v>854</v>
      </c>
    </row>
    <row r="171" spans="1:2">
      <c r="A171">
        <v>10501118</v>
      </c>
      <c r="B171" t="s">
        <v>855</v>
      </c>
    </row>
    <row r="172" spans="1:2">
      <c r="A172">
        <v>10501119</v>
      </c>
      <c r="B172" t="s">
        <v>856</v>
      </c>
    </row>
    <row r="173" spans="1:2">
      <c r="A173">
        <v>10501120</v>
      </c>
      <c r="B173" t="s">
        <v>857</v>
      </c>
    </row>
    <row r="174" spans="1:2">
      <c r="A174">
        <v>10501121</v>
      </c>
      <c r="B174" t="s">
        <v>858</v>
      </c>
    </row>
    <row r="175" spans="1:2">
      <c r="A175">
        <v>10501122</v>
      </c>
      <c r="B175" t="s">
        <v>859</v>
      </c>
    </row>
    <row r="176" spans="1:2">
      <c r="A176">
        <v>10501123</v>
      </c>
      <c r="B176" t="s">
        <v>860</v>
      </c>
    </row>
    <row r="177" spans="1:2">
      <c r="A177">
        <v>10501124</v>
      </c>
      <c r="B177" t="s">
        <v>861</v>
      </c>
    </row>
    <row r="178" spans="1:2">
      <c r="A178">
        <v>10501125</v>
      </c>
      <c r="B178" t="s">
        <v>862</v>
      </c>
    </row>
    <row r="179" spans="1:2">
      <c r="A179">
        <v>10501210</v>
      </c>
      <c r="B179" t="s">
        <v>872</v>
      </c>
    </row>
    <row r="180" spans="1:2">
      <c r="A180">
        <v>10501211</v>
      </c>
      <c r="B180" t="s">
        <v>873</v>
      </c>
    </row>
    <row r="181" spans="1:2">
      <c r="A181">
        <v>10501212</v>
      </c>
      <c r="B181" t="s">
        <v>874</v>
      </c>
    </row>
    <row r="182" spans="1:2">
      <c r="A182">
        <v>10501213</v>
      </c>
      <c r="B182" t="s">
        <v>875</v>
      </c>
    </row>
    <row r="183" spans="1:2">
      <c r="A183">
        <v>10501214</v>
      </c>
      <c r="B183" t="s">
        <v>876</v>
      </c>
    </row>
    <row r="184" spans="1:2">
      <c r="A184">
        <v>10501215</v>
      </c>
      <c r="B184" t="s">
        <v>877</v>
      </c>
    </row>
    <row r="185" spans="1:2">
      <c r="A185">
        <v>10501216</v>
      </c>
      <c r="B185" t="s">
        <v>878</v>
      </c>
    </row>
    <row r="186" spans="1:2">
      <c r="A186">
        <v>10501217</v>
      </c>
      <c r="B186" t="s">
        <v>879</v>
      </c>
    </row>
    <row r="187" spans="1:2">
      <c r="A187">
        <v>10501218</v>
      </c>
      <c r="B187" t="s">
        <v>880</v>
      </c>
    </row>
    <row r="188" spans="1:2">
      <c r="A188">
        <v>10501219</v>
      </c>
      <c r="B188" t="s">
        <v>881</v>
      </c>
    </row>
    <row r="189" spans="1:2">
      <c r="A189">
        <v>10501220</v>
      </c>
      <c r="B189" t="s">
        <v>882</v>
      </c>
    </row>
    <row r="190" spans="1:2">
      <c r="A190">
        <v>10501221</v>
      </c>
      <c r="B190" t="s">
        <v>883</v>
      </c>
    </row>
    <row r="191" spans="1:2">
      <c r="A191">
        <v>10501222</v>
      </c>
      <c r="B191" t="s">
        <v>884</v>
      </c>
    </row>
    <row r="192" spans="1:2">
      <c r="A192">
        <v>10501223</v>
      </c>
      <c r="B192" t="s">
        <v>885</v>
      </c>
    </row>
    <row r="193" spans="1:2">
      <c r="A193">
        <v>10501224</v>
      </c>
      <c r="B193" t="s">
        <v>886</v>
      </c>
    </row>
    <row r="194" spans="1:2">
      <c r="A194">
        <v>10501225</v>
      </c>
      <c r="B194" t="s">
        <v>887</v>
      </c>
    </row>
    <row r="195" spans="1:2">
      <c r="A195">
        <v>10501310</v>
      </c>
      <c r="B195" t="s">
        <v>897</v>
      </c>
    </row>
    <row r="196" spans="1:2">
      <c r="A196">
        <v>10501311</v>
      </c>
      <c r="B196" t="s">
        <v>898</v>
      </c>
    </row>
    <row r="197" spans="1:2">
      <c r="A197">
        <v>10501312</v>
      </c>
      <c r="B197" t="s">
        <v>899</v>
      </c>
    </row>
    <row r="198" spans="1:2">
      <c r="A198">
        <v>10501313</v>
      </c>
      <c r="B198" t="s">
        <v>900</v>
      </c>
    </row>
    <row r="199" spans="1:2">
      <c r="A199">
        <v>10501314</v>
      </c>
      <c r="B199" t="s">
        <v>901</v>
      </c>
    </row>
    <row r="200" spans="1:2">
      <c r="A200">
        <v>10501315</v>
      </c>
      <c r="B200" t="s">
        <v>902</v>
      </c>
    </row>
    <row r="201" spans="1:2">
      <c r="A201">
        <v>10501316</v>
      </c>
      <c r="B201" t="s">
        <v>903</v>
      </c>
    </row>
    <row r="202" spans="1:2">
      <c r="A202">
        <v>10501317</v>
      </c>
      <c r="B202" t="s">
        <v>904</v>
      </c>
    </row>
    <row r="203" spans="1:2">
      <c r="A203">
        <v>10501318</v>
      </c>
      <c r="B203" t="s">
        <v>905</v>
      </c>
    </row>
    <row r="204" spans="1:2">
      <c r="A204">
        <v>10501319</v>
      </c>
      <c r="B204" t="s">
        <v>906</v>
      </c>
    </row>
    <row r="205" spans="1:2">
      <c r="A205">
        <v>10501320</v>
      </c>
      <c r="B205" t="s">
        <v>907</v>
      </c>
    </row>
    <row r="206" spans="1:2">
      <c r="A206">
        <v>10501321</v>
      </c>
      <c r="B206" t="s">
        <v>908</v>
      </c>
    </row>
    <row r="207" spans="1:2">
      <c r="A207">
        <v>10501322</v>
      </c>
      <c r="B207" t="s">
        <v>909</v>
      </c>
    </row>
    <row r="208" spans="1:2">
      <c r="A208">
        <v>10501323</v>
      </c>
      <c r="B208" t="s">
        <v>910</v>
      </c>
    </row>
    <row r="209" spans="1:2">
      <c r="A209">
        <v>10501324</v>
      </c>
      <c r="B209" t="s">
        <v>911</v>
      </c>
    </row>
    <row r="210" spans="1:2">
      <c r="A210">
        <v>10501325</v>
      </c>
      <c r="B210" t="s">
        <v>912</v>
      </c>
    </row>
    <row r="211" spans="1:2">
      <c r="A211">
        <v>10599928</v>
      </c>
      <c r="B211" t="s">
        <v>940</v>
      </c>
    </row>
    <row r="212" spans="1:2">
      <c r="A212">
        <v>10599929</v>
      </c>
      <c r="B212" t="s">
        <v>941</v>
      </c>
    </row>
    <row r="213" spans="1:2">
      <c r="A213">
        <v>10599930</v>
      </c>
      <c r="B213" t="s">
        <v>942</v>
      </c>
    </row>
    <row r="214" spans="1:2">
      <c r="A214">
        <v>10599931</v>
      </c>
      <c r="B214" t="s">
        <v>943</v>
      </c>
    </row>
    <row r="215" spans="1:2">
      <c r="A215">
        <v>10599932</v>
      </c>
      <c r="B215" t="s">
        <v>944</v>
      </c>
    </row>
    <row r="216" spans="1:2">
      <c r="A216">
        <v>10599933</v>
      </c>
      <c r="B216" t="s">
        <v>945</v>
      </c>
    </row>
    <row r="217" spans="1:2">
      <c r="A217">
        <v>10599934</v>
      </c>
      <c r="B217" t="s">
        <v>946</v>
      </c>
    </row>
    <row r="218" spans="1:2">
      <c r="A218">
        <v>10599935</v>
      </c>
      <c r="B218" t="s">
        <v>947</v>
      </c>
    </row>
    <row r="219" spans="1:2">
      <c r="A219">
        <v>10599936</v>
      </c>
      <c r="B219" t="s">
        <v>948</v>
      </c>
    </row>
    <row r="220" spans="1:2">
      <c r="A220">
        <v>10599937</v>
      </c>
      <c r="B220" t="s">
        <v>949</v>
      </c>
    </row>
    <row r="221" spans="1:2">
      <c r="A221">
        <v>10599938</v>
      </c>
      <c r="B221" t="s">
        <v>950</v>
      </c>
    </row>
    <row r="222" spans="1:2">
      <c r="A222">
        <v>10599939</v>
      </c>
      <c r="B222" t="s">
        <v>951</v>
      </c>
    </row>
    <row r="223" spans="1:2">
      <c r="A223">
        <v>10599940</v>
      </c>
      <c r="B223" t="s">
        <v>952</v>
      </c>
    </row>
    <row r="224" spans="1:2">
      <c r="A224">
        <v>10599941</v>
      </c>
      <c r="B224" t="s">
        <v>953</v>
      </c>
    </row>
    <row r="225" spans="1:2">
      <c r="A225">
        <v>10599942</v>
      </c>
      <c r="B225" t="s">
        <v>954</v>
      </c>
    </row>
    <row r="226" spans="1:2">
      <c r="A226">
        <v>10599943</v>
      </c>
      <c r="B226" t="s">
        <v>955</v>
      </c>
    </row>
    <row r="227" spans="1:2">
      <c r="A227">
        <v>11001401</v>
      </c>
      <c r="B227" t="s">
        <v>956</v>
      </c>
    </row>
    <row r="228" spans="1:2">
      <c r="A228">
        <v>11001402</v>
      </c>
      <c r="B228" t="s">
        <v>957</v>
      </c>
    </row>
    <row r="229" spans="1:2">
      <c r="A229">
        <v>11001403</v>
      </c>
      <c r="B229" t="s">
        <v>958</v>
      </c>
    </row>
    <row r="230" spans="1:2">
      <c r="A230">
        <v>11001404</v>
      </c>
      <c r="B230" t="s">
        <v>959</v>
      </c>
    </row>
    <row r="231" spans="1:2">
      <c r="A231">
        <v>11001405</v>
      </c>
      <c r="B231" t="s">
        <v>960</v>
      </c>
    </row>
    <row r="232" spans="1:2">
      <c r="A232">
        <v>11001406</v>
      </c>
      <c r="B232" t="s">
        <v>961</v>
      </c>
    </row>
    <row r="233" spans="1:2">
      <c r="A233">
        <v>11001407</v>
      </c>
      <c r="B233" t="s">
        <v>962</v>
      </c>
    </row>
    <row r="234" spans="1:2">
      <c r="A234">
        <v>11001408</v>
      </c>
      <c r="B234" t="s">
        <v>963</v>
      </c>
    </row>
    <row r="235" spans="1:2">
      <c r="A235">
        <v>11001501</v>
      </c>
      <c r="B235" t="s">
        <v>964</v>
      </c>
    </row>
    <row r="236" spans="1:2">
      <c r="A236">
        <v>11001502</v>
      </c>
      <c r="B236" t="s">
        <v>965</v>
      </c>
    </row>
    <row r="237" spans="1:2">
      <c r="A237">
        <v>11001503</v>
      </c>
      <c r="B237" t="s">
        <v>966</v>
      </c>
    </row>
    <row r="238" spans="1:2">
      <c r="A238">
        <v>11001504</v>
      </c>
      <c r="B238" t="s">
        <v>967</v>
      </c>
    </row>
    <row r="239" spans="1:2">
      <c r="A239">
        <v>11001601</v>
      </c>
      <c r="B239" t="s">
        <v>968</v>
      </c>
    </row>
    <row r="240" spans="1:2">
      <c r="A240">
        <v>11001602</v>
      </c>
      <c r="B240" t="s">
        <v>969</v>
      </c>
    </row>
    <row r="241" spans="1:2">
      <c r="A241">
        <v>11001603</v>
      </c>
      <c r="B241" t="s">
        <v>2396</v>
      </c>
    </row>
    <row r="242" spans="1:2">
      <c r="A242">
        <v>11001701</v>
      </c>
      <c r="B242" t="s">
        <v>970</v>
      </c>
    </row>
    <row r="243" spans="1:2">
      <c r="A243">
        <v>11001702</v>
      </c>
      <c r="B243" t="s">
        <v>2397</v>
      </c>
    </row>
    <row r="244" spans="1:2">
      <c r="A244">
        <v>11001703</v>
      </c>
      <c r="B244" t="s">
        <v>2398</v>
      </c>
    </row>
    <row r="245" spans="1:2">
      <c r="A245">
        <v>11001801</v>
      </c>
      <c r="B245" t="s">
        <v>971</v>
      </c>
    </row>
    <row r="246" spans="1:2">
      <c r="A246">
        <v>11001802</v>
      </c>
      <c r="B246" t="s">
        <v>2399</v>
      </c>
    </row>
    <row r="247" spans="1:2">
      <c r="A247">
        <v>11001901</v>
      </c>
      <c r="B247" t="s">
        <v>972</v>
      </c>
    </row>
    <row r="248" spans="1:2">
      <c r="A248">
        <v>11002001</v>
      </c>
      <c r="B248" t="s">
        <v>973</v>
      </c>
    </row>
    <row r="249" spans="1:2">
      <c r="A249">
        <v>11002002</v>
      </c>
      <c r="B249" t="s">
        <v>974</v>
      </c>
    </row>
    <row r="250" spans="1:2">
      <c r="A250">
        <v>11002101</v>
      </c>
      <c r="B250" t="s">
        <v>2400</v>
      </c>
    </row>
    <row r="251" spans="1:2">
      <c r="A251">
        <v>11002102</v>
      </c>
      <c r="B251" t="s">
        <v>2401</v>
      </c>
    </row>
    <row r="252" spans="1:2">
      <c r="A252">
        <v>11002103</v>
      </c>
      <c r="B252" t="s">
        <v>2402</v>
      </c>
    </row>
    <row r="253" spans="1:2">
      <c r="A253">
        <v>11007701</v>
      </c>
      <c r="B253" t="s">
        <v>1006</v>
      </c>
    </row>
    <row r="254" spans="1:2">
      <c r="A254">
        <v>11007801</v>
      </c>
      <c r="B254" t="s">
        <v>1007</v>
      </c>
    </row>
    <row r="255" spans="1:2">
      <c r="A255">
        <v>11007901</v>
      </c>
      <c r="B255" t="s">
        <v>1008</v>
      </c>
    </row>
    <row r="256" spans="1:2">
      <c r="A256">
        <v>11002201</v>
      </c>
      <c r="B256" t="s">
        <v>975</v>
      </c>
    </row>
    <row r="257" spans="1:2">
      <c r="A257">
        <v>11002301</v>
      </c>
      <c r="B257" t="s">
        <v>976</v>
      </c>
    </row>
    <row r="258" spans="1:2">
      <c r="A258">
        <v>11002401</v>
      </c>
      <c r="B258" t="s">
        <v>2403</v>
      </c>
    </row>
    <row r="259" spans="1:2">
      <c r="A259">
        <v>11002501</v>
      </c>
      <c r="B259" t="s">
        <v>977</v>
      </c>
    </row>
    <row r="260" spans="1:2">
      <c r="A260">
        <v>11002601</v>
      </c>
      <c r="B260" t="s">
        <v>978</v>
      </c>
    </row>
    <row r="261" spans="1:2">
      <c r="A261">
        <v>11002701</v>
      </c>
      <c r="B261" t="s">
        <v>979</v>
      </c>
    </row>
    <row r="262" spans="1:2">
      <c r="A262">
        <v>11002801</v>
      </c>
      <c r="B262" t="s">
        <v>980</v>
      </c>
    </row>
    <row r="263" spans="1:2">
      <c r="A263">
        <v>11002901</v>
      </c>
      <c r="B263" t="s">
        <v>981</v>
      </c>
    </row>
    <row r="264" spans="1:2">
      <c r="A264">
        <v>11003001</v>
      </c>
      <c r="B264" t="s">
        <v>982</v>
      </c>
    </row>
    <row r="265" spans="1:2">
      <c r="A265">
        <v>11003101</v>
      </c>
      <c r="B265" t="s">
        <v>983</v>
      </c>
    </row>
    <row r="266" spans="1:2">
      <c r="A266">
        <v>11003201</v>
      </c>
      <c r="B266" t="s">
        <v>984</v>
      </c>
    </row>
    <row r="267" spans="1:2">
      <c r="A267">
        <v>11003301</v>
      </c>
      <c r="B267" t="s">
        <v>985</v>
      </c>
    </row>
    <row r="268" spans="1:2">
      <c r="A268">
        <v>11003401</v>
      </c>
      <c r="B268" t="s">
        <v>986</v>
      </c>
    </row>
    <row r="269" spans="1:2">
      <c r="A269">
        <v>11003501</v>
      </c>
      <c r="B269" t="s">
        <v>987</v>
      </c>
    </row>
    <row r="270" spans="1:2">
      <c r="A270">
        <v>11003601</v>
      </c>
      <c r="B270" t="s">
        <v>988</v>
      </c>
    </row>
    <row r="271" spans="1:2">
      <c r="A271">
        <v>11003701</v>
      </c>
      <c r="B271" t="s">
        <v>989</v>
      </c>
    </row>
    <row r="272" spans="1:2">
      <c r="A272">
        <v>11003801</v>
      </c>
      <c r="B272" t="s">
        <v>990</v>
      </c>
    </row>
    <row r="273" spans="1:2">
      <c r="A273">
        <v>11003901</v>
      </c>
      <c r="B273" t="s">
        <v>991</v>
      </c>
    </row>
    <row r="274" spans="1:2">
      <c r="A274">
        <v>11004001</v>
      </c>
      <c r="B274" t="s">
        <v>992</v>
      </c>
    </row>
    <row r="275" spans="1:2">
      <c r="A275">
        <v>11004101</v>
      </c>
      <c r="B275" t="s">
        <v>993</v>
      </c>
    </row>
    <row r="276" spans="1:2">
      <c r="A276">
        <v>11004201</v>
      </c>
      <c r="B276" t="s">
        <v>994</v>
      </c>
    </row>
    <row r="277" spans="1:2">
      <c r="A277">
        <v>11004301</v>
      </c>
      <c r="B277" t="s">
        <v>995</v>
      </c>
    </row>
    <row r="278" spans="1:2">
      <c r="A278">
        <v>11004401</v>
      </c>
      <c r="B278" t="s">
        <v>996</v>
      </c>
    </row>
    <row r="279" spans="1:2">
      <c r="A279">
        <v>11004501</v>
      </c>
      <c r="B279" t="s">
        <v>997</v>
      </c>
    </row>
    <row r="280" spans="1:2">
      <c r="A280">
        <v>11004601</v>
      </c>
      <c r="B280" t="s">
        <v>998</v>
      </c>
    </row>
    <row r="281" spans="1:2">
      <c r="A281">
        <v>11004701</v>
      </c>
      <c r="B281" t="s">
        <v>999</v>
      </c>
    </row>
    <row r="282" spans="1:2">
      <c r="A282">
        <v>11004801</v>
      </c>
      <c r="B282" t="s">
        <v>1000</v>
      </c>
    </row>
    <row r="283" spans="1:2">
      <c r="A283">
        <v>11004802</v>
      </c>
      <c r="B283" t="s">
        <v>1001</v>
      </c>
    </row>
    <row r="284" spans="1:2">
      <c r="A284">
        <v>11004803</v>
      </c>
      <c r="B284" t="s">
        <v>1002</v>
      </c>
    </row>
    <row r="285" spans="1:2">
      <c r="A285">
        <v>11004804</v>
      </c>
      <c r="B285" t="s">
        <v>1003</v>
      </c>
    </row>
    <row r="286" spans="1:2">
      <c r="A286">
        <v>11004901</v>
      </c>
      <c r="B286" t="s">
        <v>1004</v>
      </c>
    </row>
    <row r="287" spans="1:2">
      <c r="A287">
        <v>11005001</v>
      </c>
      <c r="B287" t="s">
        <v>1005</v>
      </c>
    </row>
    <row r="288" spans="1:2">
      <c r="A288">
        <v>11099901</v>
      </c>
      <c r="B288" t="s">
        <v>1009</v>
      </c>
    </row>
    <row r="289" spans="1:2">
      <c r="A289">
        <v>11004901</v>
      </c>
      <c r="B289" t="s">
        <v>2404</v>
      </c>
    </row>
    <row r="290" spans="1:2">
      <c r="A290">
        <v>11004902</v>
      </c>
      <c r="B290" t="s">
        <v>2405</v>
      </c>
    </row>
    <row r="291" spans="1:2">
      <c r="A291">
        <v>11004903</v>
      </c>
      <c r="B291" t="s">
        <v>2406</v>
      </c>
    </row>
    <row r="292" spans="1:2">
      <c r="A292">
        <v>11004904</v>
      </c>
      <c r="B292" t="s">
        <v>2407</v>
      </c>
    </row>
    <row r="293" spans="1:2">
      <c r="A293">
        <v>11004905</v>
      </c>
      <c r="B293" t="s">
        <v>2408</v>
      </c>
    </row>
    <row r="294" spans="1:2">
      <c r="A294">
        <v>11004906</v>
      </c>
      <c r="B294" t="s">
        <v>2409</v>
      </c>
    </row>
    <row r="295" spans="1:2">
      <c r="A295">
        <v>11004907</v>
      </c>
      <c r="B295" t="s">
        <v>2410</v>
      </c>
    </row>
    <row r="296" spans="1:2">
      <c r="A296">
        <v>11004908</v>
      </c>
      <c r="B296" t="s">
        <v>2411</v>
      </c>
    </row>
    <row r="297" spans="1:2">
      <c r="A297">
        <v>11004909</v>
      </c>
      <c r="B297" t="s">
        <v>2412</v>
      </c>
    </row>
    <row r="298" spans="1:2">
      <c r="A298">
        <v>11004910</v>
      </c>
      <c r="B298" t="s">
        <v>2413</v>
      </c>
    </row>
    <row r="299" spans="1:2">
      <c r="A299">
        <v>11004911</v>
      </c>
      <c r="B299" t="s">
        <v>2414</v>
      </c>
    </row>
    <row r="300" spans="1:2">
      <c r="A300">
        <v>11005001</v>
      </c>
      <c r="B300" t="s">
        <v>2415</v>
      </c>
    </row>
    <row r="301" spans="1:2">
      <c r="A301">
        <v>11005002</v>
      </c>
      <c r="B301" t="s">
        <v>2416</v>
      </c>
    </row>
    <row r="302" spans="1:2">
      <c r="A302">
        <v>11005003</v>
      </c>
      <c r="B302" t="s">
        <v>2417</v>
      </c>
    </row>
    <row r="303" spans="1:2">
      <c r="A303">
        <v>11005004</v>
      </c>
      <c r="B303" t="s">
        <v>2418</v>
      </c>
    </row>
    <row r="304" spans="1:2">
      <c r="A304">
        <v>11005005</v>
      </c>
      <c r="B304" t="s">
        <v>2419</v>
      </c>
    </row>
    <row r="305" spans="1:2">
      <c r="A305">
        <v>11005006</v>
      </c>
      <c r="B305" t="s">
        <v>2420</v>
      </c>
    </row>
    <row r="306" spans="1:2">
      <c r="A306">
        <v>11005007</v>
      </c>
      <c r="B306" t="s">
        <v>2421</v>
      </c>
    </row>
    <row r="307" spans="1:2">
      <c r="A307">
        <v>11005008</v>
      </c>
      <c r="B307" t="s">
        <v>2422</v>
      </c>
    </row>
    <row r="308" spans="1:2">
      <c r="A308">
        <v>11005009</v>
      </c>
      <c r="B308" t="s">
        <v>2423</v>
      </c>
    </row>
    <row r="309" spans="1:2">
      <c r="A309">
        <v>11005010</v>
      </c>
      <c r="B309" t="s">
        <v>2424</v>
      </c>
    </row>
    <row r="310" spans="1:2">
      <c r="A310">
        <v>11005011</v>
      </c>
      <c r="B310" t="s">
        <v>2425</v>
      </c>
    </row>
    <row r="311" spans="1:2">
      <c r="A311">
        <v>11099901</v>
      </c>
      <c r="B311" t="s">
        <v>2426</v>
      </c>
    </row>
    <row r="312" spans="1:2">
      <c r="A312">
        <v>11099902</v>
      </c>
      <c r="B312" t="s">
        <v>2427</v>
      </c>
    </row>
    <row r="313" spans="1:2">
      <c r="A313">
        <v>11099903</v>
      </c>
      <c r="B313" t="s">
        <v>2428</v>
      </c>
    </row>
    <row r="314" spans="1:2">
      <c r="A314">
        <v>11099904</v>
      </c>
      <c r="B314" t="s">
        <v>2429</v>
      </c>
    </row>
    <row r="315" spans="1:2">
      <c r="A315">
        <v>11099905</v>
      </c>
      <c r="B315" t="s">
        <v>2430</v>
      </c>
    </row>
    <row r="316" spans="1:2">
      <c r="A316">
        <v>11099912</v>
      </c>
      <c r="B316" t="s">
        <v>2431</v>
      </c>
    </row>
    <row r="317" spans="1:2">
      <c r="A317">
        <v>11099906</v>
      </c>
      <c r="B317" t="s">
        <v>2432</v>
      </c>
    </row>
    <row r="318" spans="1:2">
      <c r="A318">
        <v>11099907</v>
      </c>
      <c r="B318" t="s">
        <v>2433</v>
      </c>
    </row>
    <row r="319" spans="1:2">
      <c r="A319">
        <v>11099908</v>
      </c>
      <c r="B319" t="s">
        <v>2434</v>
      </c>
    </row>
    <row r="320" spans="1:2">
      <c r="A320">
        <v>11099909</v>
      </c>
      <c r="B320" t="s">
        <v>2435</v>
      </c>
    </row>
    <row r="321" spans="1:2">
      <c r="A321">
        <v>11099913</v>
      </c>
      <c r="B321" t="s">
        <v>2436</v>
      </c>
    </row>
    <row r="322" spans="1:2">
      <c r="A322">
        <v>11099914</v>
      </c>
      <c r="B322" t="s">
        <v>2437</v>
      </c>
    </row>
    <row r="323" spans="1:2">
      <c r="A323">
        <v>11099915</v>
      </c>
      <c r="B323" t="s">
        <v>2438</v>
      </c>
    </row>
    <row r="324" spans="1:2">
      <c r="A324">
        <v>11099910</v>
      </c>
      <c r="B324" t="s">
        <v>2439</v>
      </c>
    </row>
    <row r="325" spans="1:2">
      <c r="A325">
        <v>11099911</v>
      </c>
      <c r="B325" t="s">
        <v>2440</v>
      </c>
    </row>
    <row r="326" spans="1:2">
      <c r="A326">
        <v>11099916</v>
      </c>
      <c r="B326" t="s">
        <v>2441</v>
      </c>
    </row>
    <row r="327" spans="1:2">
      <c r="A327">
        <v>11099917</v>
      </c>
      <c r="B327" t="s">
        <v>2442</v>
      </c>
    </row>
    <row r="328" spans="1:2">
      <c r="A328">
        <v>11099918</v>
      </c>
      <c r="B328" t="s">
        <v>2443</v>
      </c>
    </row>
    <row r="329" spans="1:2">
      <c r="A329">
        <v>11505101</v>
      </c>
      <c r="B329" t="s">
        <v>1010</v>
      </c>
    </row>
    <row r="330" spans="1:2">
      <c r="A330">
        <v>11505201</v>
      </c>
      <c r="B330" t="s">
        <v>1011</v>
      </c>
    </row>
    <row r="331" spans="1:2">
      <c r="A331">
        <v>11505301</v>
      </c>
      <c r="B331" t="s">
        <v>1012</v>
      </c>
    </row>
    <row r="332" spans="1:2">
      <c r="A332">
        <v>11505401</v>
      </c>
      <c r="B332" t="s">
        <v>1013</v>
      </c>
    </row>
    <row r="333" spans="1:2">
      <c r="A333">
        <v>11508001</v>
      </c>
      <c r="B333" t="s">
        <v>2444</v>
      </c>
    </row>
    <row r="334" spans="1:2">
      <c r="A334">
        <v>12005501</v>
      </c>
      <c r="B334" t="s">
        <v>1014</v>
      </c>
    </row>
    <row r="335" spans="1:2">
      <c r="A335">
        <v>12005601</v>
      </c>
      <c r="B335" t="s">
        <v>1015</v>
      </c>
    </row>
    <row r="336" spans="1:2">
      <c r="A336">
        <v>12005602</v>
      </c>
      <c r="B336" t="s">
        <v>1016</v>
      </c>
    </row>
    <row r="337" spans="1:2">
      <c r="A337">
        <v>12005603</v>
      </c>
      <c r="B337" t="s">
        <v>1017</v>
      </c>
    </row>
    <row r="338" spans="1:2">
      <c r="A338">
        <v>12005604</v>
      </c>
      <c r="B338" t="s">
        <v>1018</v>
      </c>
    </row>
    <row r="339" spans="1:2">
      <c r="A339">
        <v>12005701</v>
      </c>
      <c r="B339" t="s">
        <v>1019</v>
      </c>
    </row>
    <row r="340" spans="1:2">
      <c r="A340">
        <v>12005702</v>
      </c>
      <c r="B340" t="s">
        <v>1020</v>
      </c>
    </row>
    <row r="341" spans="1:2">
      <c r="A341">
        <v>12005703</v>
      </c>
      <c r="B341" t="s">
        <v>1021</v>
      </c>
    </row>
    <row r="342" spans="1:2">
      <c r="A342">
        <v>12005801</v>
      </c>
      <c r="B342" t="s">
        <v>1022</v>
      </c>
    </row>
    <row r="343" spans="1:2">
      <c r="A343">
        <v>12099901</v>
      </c>
      <c r="B343" t="s">
        <v>1023</v>
      </c>
    </row>
    <row r="344" spans="1:2">
      <c r="A344">
        <v>12099902</v>
      </c>
      <c r="B344" t="s">
        <v>1024</v>
      </c>
    </row>
    <row r="345" spans="1:2">
      <c r="A345">
        <v>12505901</v>
      </c>
      <c r="B345" t="s">
        <v>1025</v>
      </c>
    </row>
    <row r="346" spans="1:2">
      <c r="A346">
        <v>12505902</v>
      </c>
      <c r="B346" t="s">
        <v>1026</v>
      </c>
    </row>
    <row r="347" spans="1:2">
      <c r="A347">
        <v>12505903</v>
      </c>
      <c r="B347" t="s">
        <v>1027</v>
      </c>
    </row>
    <row r="348" spans="1:2">
      <c r="A348">
        <v>12505904</v>
      </c>
      <c r="B348" t="s">
        <v>1028</v>
      </c>
    </row>
    <row r="349" spans="1:2">
      <c r="A349">
        <v>12505905</v>
      </c>
      <c r="B349" t="s">
        <v>1029</v>
      </c>
    </row>
    <row r="350" spans="1:2">
      <c r="A350">
        <v>12505906</v>
      </c>
      <c r="B350" t="s">
        <v>1030</v>
      </c>
    </row>
    <row r="351" spans="1:2">
      <c r="A351">
        <v>12505907</v>
      </c>
      <c r="B351" t="s">
        <v>1031</v>
      </c>
    </row>
    <row r="352" spans="1:2">
      <c r="A352">
        <v>12505908</v>
      </c>
      <c r="B352" t="s">
        <v>1032</v>
      </c>
    </row>
    <row r="353" spans="1:2">
      <c r="A353">
        <v>12505909</v>
      </c>
      <c r="B353" t="s">
        <v>1033</v>
      </c>
    </row>
    <row r="354" spans="1:2">
      <c r="A354">
        <v>12505910</v>
      </c>
      <c r="B354" t="s">
        <v>1034</v>
      </c>
    </row>
    <row r="355" spans="1:2">
      <c r="A355">
        <v>12505911</v>
      </c>
      <c r="B355" t="s">
        <v>1035</v>
      </c>
    </row>
    <row r="356" spans="1:2">
      <c r="A356">
        <v>12505912</v>
      </c>
      <c r="B356" t="s">
        <v>1036</v>
      </c>
    </row>
    <row r="357" spans="1:2">
      <c r="A357">
        <v>12505913</v>
      </c>
      <c r="B357" t="s">
        <v>1037</v>
      </c>
    </row>
    <row r="358" spans="1:2">
      <c r="A358">
        <v>12505914</v>
      </c>
      <c r="B358" t="s">
        <v>1038</v>
      </c>
    </row>
    <row r="359" spans="1:2">
      <c r="A359">
        <v>12505915</v>
      </c>
      <c r="B359" t="s">
        <v>1039</v>
      </c>
    </row>
    <row r="360" spans="1:2">
      <c r="A360">
        <v>12505916</v>
      </c>
      <c r="B360" t="s">
        <v>1040</v>
      </c>
    </row>
    <row r="361" spans="1:2">
      <c r="A361">
        <v>12505917</v>
      </c>
      <c r="B361" t="s">
        <v>1041</v>
      </c>
    </row>
    <row r="362" spans="1:2">
      <c r="A362">
        <v>12505918</v>
      </c>
      <c r="B362" t="s">
        <v>1042</v>
      </c>
    </row>
    <row r="363" spans="1:2">
      <c r="A363">
        <v>12505919</v>
      </c>
      <c r="B363" t="s">
        <v>1043</v>
      </c>
    </row>
    <row r="364" spans="1:2">
      <c r="A364">
        <v>12505920</v>
      </c>
      <c r="B364" t="s">
        <v>1044</v>
      </c>
    </row>
    <row r="365" spans="1:2">
      <c r="A365">
        <v>12505921</v>
      </c>
      <c r="B365" t="s">
        <v>1045</v>
      </c>
    </row>
    <row r="366" spans="1:2">
      <c r="A366">
        <v>12505922</v>
      </c>
      <c r="B366" t="s">
        <v>1046</v>
      </c>
    </row>
    <row r="367" spans="1:2">
      <c r="A367">
        <v>12505923</v>
      </c>
      <c r="B367" t="s">
        <v>1047</v>
      </c>
    </row>
    <row r="368" spans="1:2">
      <c r="A368">
        <v>12505924</v>
      </c>
      <c r="B368" t="s">
        <v>1048</v>
      </c>
    </row>
    <row r="369" spans="1:2">
      <c r="A369">
        <v>12505925</v>
      </c>
      <c r="B369" t="s">
        <v>1049</v>
      </c>
    </row>
    <row r="370" spans="1:2">
      <c r="A370">
        <v>12505926</v>
      </c>
      <c r="B370" t="s">
        <v>1050</v>
      </c>
    </row>
    <row r="371" spans="1:2">
      <c r="A371">
        <v>12505927</v>
      </c>
      <c r="B371" t="s">
        <v>1051</v>
      </c>
    </row>
    <row r="372" spans="1:2">
      <c r="A372">
        <v>12505928</v>
      </c>
      <c r="B372" t="s">
        <v>1052</v>
      </c>
    </row>
    <row r="373" spans="1:2">
      <c r="A373">
        <v>12505929</v>
      </c>
      <c r="B373" t="s">
        <v>1053</v>
      </c>
    </row>
    <row r="374" spans="1:2">
      <c r="A374">
        <v>12505930</v>
      </c>
      <c r="B374" t="s">
        <v>1054</v>
      </c>
    </row>
    <row r="375" spans="1:2">
      <c r="A375">
        <v>12505931</v>
      </c>
      <c r="B375" t="s">
        <v>1055</v>
      </c>
    </row>
    <row r="376" spans="1:2">
      <c r="A376">
        <v>12505932</v>
      </c>
      <c r="B376" t="s">
        <v>1056</v>
      </c>
    </row>
    <row r="377" spans="1:2">
      <c r="A377">
        <v>12505933</v>
      </c>
      <c r="B377" t="s">
        <v>1057</v>
      </c>
    </row>
    <row r="378" spans="1:2">
      <c r="A378">
        <v>12505934</v>
      </c>
      <c r="B378" t="s">
        <v>1058</v>
      </c>
    </row>
    <row r="379" spans="1:2">
      <c r="A379">
        <v>12505935</v>
      </c>
      <c r="B379" t="s">
        <v>1059</v>
      </c>
    </row>
    <row r="380" spans="1:2">
      <c r="A380">
        <v>12505936</v>
      </c>
      <c r="B380" t="s">
        <v>1060</v>
      </c>
    </row>
    <row r="381" spans="1:2">
      <c r="A381">
        <v>12505937</v>
      </c>
      <c r="B381" t="s">
        <v>1061</v>
      </c>
    </row>
    <row r="382" spans="1:2">
      <c r="A382">
        <v>12505938</v>
      </c>
      <c r="B382" t="s">
        <v>1062</v>
      </c>
    </row>
    <row r="383" spans="1:2">
      <c r="A383">
        <v>12505939</v>
      </c>
      <c r="B383" t="s">
        <v>1063</v>
      </c>
    </row>
    <row r="384" spans="1:2">
      <c r="A384">
        <v>12505940</v>
      </c>
      <c r="B384" t="s">
        <v>1064</v>
      </c>
    </row>
    <row r="385" spans="1:2">
      <c r="A385">
        <v>12505941</v>
      </c>
      <c r="B385" t="s">
        <v>1065</v>
      </c>
    </row>
    <row r="386" spans="1:2">
      <c r="A386">
        <v>12505942</v>
      </c>
      <c r="B386" t="s">
        <v>1066</v>
      </c>
    </row>
    <row r="387" spans="1:2">
      <c r="A387">
        <v>12505943</v>
      </c>
      <c r="B387" t="s">
        <v>1067</v>
      </c>
    </row>
    <row r="388" spans="1:2">
      <c r="A388">
        <v>12505944</v>
      </c>
      <c r="B388" t="s">
        <v>1068</v>
      </c>
    </row>
    <row r="389" spans="1:2">
      <c r="A389">
        <v>12505945</v>
      </c>
      <c r="B389" t="s">
        <v>1069</v>
      </c>
    </row>
    <row r="390" spans="1:2">
      <c r="A390">
        <v>12505946</v>
      </c>
      <c r="B390" t="s">
        <v>1070</v>
      </c>
    </row>
    <row r="391" spans="1:2">
      <c r="A391">
        <v>12505947</v>
      </c>
      <c r="B391" t="s">
        <v>1071</v>
      </c>
    </row>
    <row r="392" spans="1:2">
      <c r="A392">
        <v>12505948</v>
      </c>
      <c r="B392" t="s">
        <v>1072</v>
      </c>
    </row>
    <row r="393" spans="1:2">
      <c r="A393">
        <v>12505949</v>
      </c>
      <c r="B393" t="s">
        <v>1073</v>
      </c>
    </row>
    <row r="394" spans="1:2">
      <c r="A394">
        <v>12505950</v>
      </c>
      <c r="B394" t="s">
        <v>1074</v>
      </c>
    </row>
    <row r="395" spans="1:2">
      <c r="A395">
        <v>12505951</v>
      </c>
      <c r="B395" t="s">
        <v>1075</v>
      </c>
    </row>
    <row r="396" spans="1:2">
      <c r="A396">
        <v>12505952</v>
      </c>
      <c r="B396" t="s">
        <v>1076</v>
      </c>
    </row>
    <row r="397" spans="1:2">
      <c r="A397">
        <v>12505953</v>
      </c>
      <c r="B397" t="s">
        <v>1077</v>
      </c>
    </row>
    <row r="398" spans="1:2">
      <c r="A398">
        <v>12505954</v>
      </c>
      <c r="B398" t="s">
        <v>1078</v>
      </c>
    </row>
    <row r="399" spans="1:2">
      <c r="A399">
        <v>12505955</v>
      </c>
      <c r="B399" t="s">
        <v>1079</v>
      </c>
    </row>
    <row r="400" spans="1:2">
      <c r="A400">
        <v>12505956</v>
      </c>
      <c r="B400" t="s">
        <v>1080</v>
      </c>
    </row>
    <row r="401" spans="1:2">
      <c r="A401">
        <v>12505957</v>
      </c>
      <c r="B401" t="s">
        <v>1081</v>
      </c>
    </row>
    <row r="402" spans="1:2">
      <c r="A402">
        <v>12505958</v>
      </c>
      <c r="B402" t="s">
        <v>1082</v>
      </c>
    </row>
    <row r="403" spans="1:2">
      <c r="A403">
        <v>12505959</v>
      </c>
      <c r="B403" t="s">
        <v>1083</v>
      </c>
    </row>
    <row r="404" spans="1:2">
      <c r="A404">
        <v>12505960</v>
      </c>
      <c r="B404" t="s">
        <v>1084</v>
      </c>
    </row>
    <row r="405" spans="1:2">
      <c r="A405">
        <v>12505961</v>
      </c>
      <c r="B405" t="s">
        <v>1085</v>
      </c>
    </row>
    <row r="406" spans="1:2">
      <c r="A406">
        <v>12505962</v>
      </c>
      <c r="B406" t="s">
        <v>1086</v>
      </c>
    </row>
    <row r="407" spans="1:2">
      <c r="A407">
        <v>12505963</v>
      </c>
      <c r="B407" t="s">
        <v>1087</v>
      </c>
    </row>
    <row r="408" spans="1:2">
      <c r="A408">
        <v>12505964</v>
      </c>
      <c r="B408" t="s">
        <v>1088</v>
      </c>
    </row>
    <row r="409" spans="1:2">
      <c r="A409">
        <v>12505965</v>
      </c>
      <c r="B409" t="s">
        <v>1089</v>
      </c>
    </row>
    <row r="410" spans="1:2">
      <c r="A410">
        <v>12505966</v>
      </c>
      <c r="B410" t="s">
        <v>1090</v>
      </c>
    </row>
    <row r="411" spans="1:2">
      <c r="A411">
        <v>12505967</v>
      </c>
      <c r="B411" t="s">
        <v>1091</v>
      </c>
    </row>
    <row r="412" spans="1:2">
      <c r="A412">
        <v>12505968</v>
      </c>
      <c r="B412" t="s">
        <v>1092</v>
      </c>
    </row>
    <row r="413" spans="1:2">
      <c r="A413">
        <v>12505969</v>
      </c>
      <c r="B413" t="s">
        <v>1093</v>
      </c>
    </row>
    <row r="414" spans="1:2">
      <c r="A414">
        <v>12505970</v>
      </c>
      <c r="B414" t="s">
        <v>1094</v>
      </c>
    </row>
    <row r="415" spans="1:2">
      <c r="A415">
        <v>12505971</v>
      </c>
      <c r="B415" t="s">
        <v>1095</v>
      </c>
    </row>
    <row r="416" spans="1:2">
      <c r="A416">
        <v>12505972</v>
      </c>
      <c r="B416" t="s">
        <v>1096</v>
      </c>
    </row>
    <row r="417" spans="1:2">
      <c r="A417">
        <v>12505973</v>
      </c>
      <c r="B417" t="s">
        <v>1097</v>
      </c>
    </row>
    <row r="418" spans="1:2">
      <c r="A418">
        <v>12505974</v>
      </c>
      <c r="B418" t="s">
        <v>1098</v>
      </c>
    </row>
    <row r="419" spans="1:2">
      <c r="A419">
        <v>12505975</v>
      </c>
      <c r="B419" t="s">
        <v>1099</v>
      </c>
    </row>
    <row r="420" spans="1:2">
      <c r="A420">
        <v>12505976</v>
      </c>
      <c r="B420" t="s">
        <v>1100</v>
      </c>
    </row>
    <row r="421" spans="1:2">
      <c r="A421">
        <v>12505977</v>
      </c>
      <c r="B421" t="s">
        <v>1101</v>
      </c>
    </row>
    <row r="422" spans="1:2">
      <c r="A422">
        <v>12505978</v>
      </c>
      <c r="B422" t="s">
        <v>1102</v>
      </c>
    </row>
    <row r="423" spans="1:2">
      <c r="A423">
        <v>12505979</v>
      </c>
      <c r="B423" t="s">
        <v>1103</v>
      </c>
    </row>
    <row r="424" spans="1:2">
      <c r="A424">
        <v>12505980</v>
      </c>
      <c r="B424" t="s">
        <v>1104</v>
      </c>
    </row>
    <row r="425" spans="1:2">
      <c r="A425">
        <v>12505981</v>
      </c>
      <c r="B425" t="s">
        <v>1105</v>
      </c>
    </row>
    <row r="426" spans="1:2">
      <c r="A426">
        <v>12505982</v>
      </c>
      <c r="B426" t="s">
        <v>1106</v>
      </c>
    </row>
    <row r="427" spans="1:2">
      <c r="A427">
        <v>12505983</v>
      </c>
      <c r="B427" t="s">
        <v>1107</v>
      </c>
    </row>
    <row r="428" spans="1:2">
      <c r="A428">
        <v>12505984</v>
      </c>
      <c r="B428" t="s">
        <v>1108</v>
      </c>
    </row>
    <row r="429" spans="1:2">
      <c r="A429">
        <v>12505985</v>
      </c>
      <c r="B429" t="s">
        <v>1109</v>
      </c>
    </row>
    <row r="430" spans="1:2">
      <c r="A430">
        <v>12505986</v>
      </c>
      <c r="B430" t="s">
        <v>1110</v>
      </c>
    </row>
    <row r="431" spans="1:2">
      <c r="A431">
        <v>12505987</v>
      </c>
      <c r="B431" t="s">
        <v>1111</v>
      </c>
    </row>
    <row r="432" spans="1:2">
      <c r="A432">
        <v>12505988</v>
      </c>
      <c r="B432" t="s">
        <v>1112</v>
      </c>
    </row>
    <row r="433" spans="1:2">
      <c r="A433">
        <v>12505989</v>
      </c>
      <c r="B433" t="s">
        <v>1113</v>
      </c>
    </row>
    <row r="434" spans="1:2">
      <c r="A434">
        <v>12505990</v>
      </c>
      <c r="B434" t="s">
        <v>1114</v>
      </c>
    </row>
    <row r="435" spans="1:2">
      <c r="A435">
        <v>12505991</v>
      </c>
      <c r="B435" t="s">
        <v>1115</v>
      </c>
    </row>
    <row r="436" spans="1:2">
      <c r="A436">
        <v>12505992</v>
      </c>
      <c r="B436" t="s">
        <v>2445</v>
      </c>
    </row>
    <row r="437" spans="1:2">
      <c r="A437">
        <v>12505993</v>
      </c>
      <c r="B437" t="s">
        <v>2446</v>
      </c>
    </row>
    <row r="438" spans="1:2">
      <c r="A438">
        <v>12505994</v>
      </c>
      <c r="B438" t="s">
        <v>2447</v>
      </c>
    </row>
    <row r="439" spans="1:2">
      <c r="A439">
        <v>12506001</v>
      </c>
      <c r="B439" t="s">
        <v>1116</v>
      </c>
    </row>
    <row r="440" spans="1:2">
      <c r="A440">
        <v>12506002</v>
      </c>
      <c r="B440" t="s">
        <v>1117</v>
      </c>
    </row>
    <row r="441" spans="1:2">
      <c r="A441">
        <v>12506003</v>
      </c>
      <c r="B441" t="s">
        <v>1118</v>
      </c>
    </row>
    <row r="442" spans="1:2">
      <c r="A442">
        <v>12506004</v>
      </c>
      <c r="B442" t="s">
        <v>1119</v>
      </c>
    </row>
    <row r="443" spans="1:2">
      <c r="A443">
        <v>12506005</v>
      </c>
      <c r="B443" t="s">
        <v>1120</v>
      </c>
    </row>
    <row r="444" spans="1:2">
      <c r="A444">
        <v>12506006</v>
      </c>
      <c r="B444" t="s">
        <v>1121</v>
      </c>
    </row>
    <row r="445" spans="1:2">
      <c r="A445">
        <v>12506007</v>
      </c>
      <c r="B445" t="s">
        <v>1122</v>
      </c>
    </row>
    <row r="446" spans="1:2">
      <c r="A446">
        <v>12506008</v>
      </c>
      <c r="B446" t="s">
        <v>1123</v>
      </c>
    </row>
    <row r="447" spans="1:2">
      <c r="A447">
        <v>12506009</v>
      </c>
      <c r="B447" t="s">
        <v>1124</v>
      </c>
    </row>
    <row r="448" spans="1:2">
      <c r="A448">
        <v>12506010</v>
      </c>
      <c r="B448" t="s">
        <v>1125</v>
      </c>
    </row>
    <row r="449" spans="1:2">
      <c r="A449">
        <v>12506011</v>
      </c>
      <c r="B449" t="s">
        <v>1126</v>
      </c>
    </row>
    <row r="450" spans="1:2">
      <c r="A450">
        <v>12506012</v>
      </c>
      <c r="B450" t="s">
        <v>1127</v>
      </c>
    </row>
    <row r="451" spans="1:2">
      <c r="A451">
        <v>12506013</v>
      </c>
      <c r="B451" t="s">
        <v>1128</v>
      </c>
    </row>
    <row r="452" spans="1:2">
      <c r="A452">
        <v>12506014</v>
      </c>
      <c r="B452" t="s">
        <v>1129</v>
      </c>
    </row>
    <row r="453" spans="1:2">
      <c r="A453">
        <v>12506015</v>
      </c>
      <c r="B453" t="s">
        <v>2448</v>
      </c>
    </row>
    <row r="454" spans="1:2">
      <c r="A454">
        <v>13006101</v>
      </c>
      <c r="B454" t="s">
        <v>1130</v>
      </c>
    </row>
    <row r="455" spans="1:2">
      <c r="A455">
        <v>13006102</v>
      </c>
      <c r="B455" t="s">
        <v>1131</v>
      </c>
    </row>
    <row r="456" spans="1:2">
      <c r="A456">
        <v>13006103</v>
      </c>
      <c r="B456" t="s">
        <v>1132</v>
      </c>
    </row>
    <row r="457" spans="1:2">
      <c r="A457">
        <v>13006104</v>
      </c>
      <c r="B457" t="s">
        <v>1133</v>
      </c>
    </row>
    <row r="458" spans="1:2">
      <c r="A458">
        <v>13006105</v>
      </c>
      <c r="B458" t="s">
        <v>1134</v>
      </c>
    </row>
    <row r="459" spans="1:2">
      <c r="A459">
        <v>13006106</v>
      </c>
      <c r="B459" t="s">
        <v>1135</v>
      </c>
    </row>
    <row r="460" spans="1:2">
      <c r="A460">
        <v>13506201</v>
      </c>
      <c r="B460" t="s">
        <v>1136</v>
      </c>
    </row>
    <row r="461" spans="1:2">
      <c r="A461">
        <v>14006301</v>
      </c>
      <c r="B461" t="s">
        <v>1137</v>
      </c>
    </row>
    <row r="462" spans="1:2">
      <c r="A462">
        <v>14006401</v>
      </c>
      <c r="B462" t="s">
        <v>1138</v>
      </c>
    </row>
    <row r="463" spans="1:2">
      <c r="A463">
        <v>14006501</v>
      </c>
      <c r="B463" t="s">
        <v>1139</v>
      </c>
    </row>
    <row r="464" spans="1:2">
      <c r="A464">
        <v>14006601</v>
      </c>
      <c r="B464" t="s">
        <v>1140</v>
      </c>
    </row>
    <row r="465" spans="1:2">
      <c r="A465">
        <v>14006701</v>
      </c>
      <c r="B465" t="s">
        <v>1141</v>
      </c>
    </row>
    <row r="466" spans="1:2">
      <c r="A466">
        <v>14006801</v>
      </c>
      <c r="B466" t="s">
        <v>1142</v>
      </c>
    </row>
    <row r="467" spans="1:2">
      <c r="A467">
        <v>14099901</v>
      </c>
      <c r="B467" t="s">
        <v>1143</v>
      </c>
    </row>
    <row r="468" spans="1:2">
      <c r="A468">
        <v>14506901</v>
      </c>
      <c r="B468" t="s">
        <v>1144</v>
      </c>
    </row>
    <row r="469" spans="1:2">
      <c r="A469">
        <v>14506902</v>
      </c>
      <c r="B469" t="s">
        <v>1145</v>
      </c>
    </row>
    <row r="470" spans="1:2">
      <c r="A470">
        <v>14506903</v>
      </c>
      <c r="B470" t="s">
        <v>1146</v>
      </c>
    </row>
    <row r="471" spans="1:2">
      <c r="A471">
        <v>14506904</v>
      </c>
      <c r="B471" t="s">
        <v>1147</v>
      </c>
    </row>
    <row r="472" spans="1:2">
      <c r="A472">
        <v>14506905</v>
      </c>
      <c r="B472" t="s">
        <v>1148</v>
      </c>
    </row>
    <row r="473" spans="1:2">
      <c r="A473">
        <v>14506906</v>
      </c>
      <c r="B473" t="s">
        <v>1149</v>
      </c>
    </row>
    <row r="474" spans="1:2">
      <c r="A474">
        <v>14506907</v>
      </c>
      <c r="B474" t="s">
        <v>1150</v>
      </c>
    </row>
    <row r="475" spans="1:2">
      <c r="A475">
        <v>14506908</v>
      </c>
      <c r="B475" t="s">
        <v>1151</v>
      </c>
    </row>
    <row r="476" spans="1:2">
      <c r="A476">
        <v>14506909</v>
      </c>
      <c r="B476" t="s">
        <v>1152</v>
      </c>
    </row>
    <row r="477" spans="1:2">
      <c r="A477">
        <v>14507001</v>
      </c>
      <c r="B477" t="s">
        <v>1169</v>
      </c>
    </row>
    <row r="478" spans="1:2">
      <c r="A478">
        <v>14507002</v>
      </c>
      <c r="B478" t="s">
        <v>1170</v>
      </c>
    </row>
    <row r="479" spans="1:2">
      <c r="A479">
        <v>14507003</v>
      </c>
      <c r="B479" t="s">
        <v>1171</v>
      </c>
    </row>
    <row r="480" spans="1:2">
      <c r="A480">
        <v>14507004</v>
      </c>
      <c r="B480" t="s">
        <v>1172</v>
      </c>
    </row>
    <row r="481" spans="1:2">
      <c r="A481">
        <v>14507005</v>
      </c>
      <c r="B481" t="s">
        <v>1173</v>
      </c>
    </row>
    <row r="482" spans="1:2">
      <c r="A482">
        <v>14507006</v>
      </c>
      <c r="B482" t="s">
        <v>1174</v>
      </c>
    </row>
    <row r="483" spans="1:2">
      <c r="A483">
        <v>14507007</v>
      </c>
      <c r="B483" t="s">
        <v>1175</v>
      </c>
    </row>
    <row r="484" spans="1:2">
      <c r="A484">
        <v>14507008</v>
      </c>
      <c r="B484" t="s">
        <v>1176</v>
      </c>
    </row>
    <row r="485" spans="1:2">
      <c r="A485">
        <v>14507009</v>
      </c>
      <c r="B485" t="s">
        <v>1177</v>
      </c>
    </row>
    <row r="486" spans="1:2">
      <c r="A486">
        <v>14507101</v>
      </c>
      <c r="B486" t="s">
        <v>1194</v>
      </c>
    </row>
    <row r="487" spans="1:2">
      <c r="A487">
        <v>14507102</v>
      </c>
      <c r="B487" t="s">
        <v>1195</v>
      </c>
    </row>
    <row r="488" spans="1:2">
      <c r="A488">
        <v>14507103</v>
      </c>
      <c r="B488" t="s">
        <v>1196</v>
      </c>
    </row>
    <row r="489" spans="1:2">
      <c r="A489">
        <v>14507104</v>
      </c>
      <c r="B489" t="s">
        <v>1197</v>
      </c>
    </row>
    <row r="490" spans="1:2">
      <c r="A490">
        <v>14507105</v>
      </c>
      <c r="B490" t="s">
        <v>1198</v>
      </c>
    </row>
    <row r="491" spans="1:2">
      <c r="A491">
        <v>14507106</v>
      </c>
      <c r="B491" t="s">
        <v>1199</v>
      </c>
    </row>
    <row r="492" spans="1:2">
      <c r="A492">
        <v>14507107</v>
      </c>
      <c r="B492" t="s">
        <v>1200</v>
      </c>
    </row>
    <row r="493" spans="1:2">
      <c r="A493">
        <v>14507108</v>
      </c>
      <c r="B493" t="s">
        <v>1201</v>
      </c>
    </row>
    <row r="494" spans="1:2">
      <c r="A494">
        <v>14507109</v>
      </c>
      <c r="B494" t="s">
        <v>1202</v>
      </c>
    </row>
    <row r="495" spans="1:2">
      <c r="A495">
        <v>14507201</v>
      </c>
      <c r="B495" t="s">
        <v>1219</v>
      </c>
    </row>
    <row r="496" spans="1:2">
      <c r="A496">
        <v>14507202</v>
      </c>
      <c r="B496" t="s">
        <v>1220</v>
      </c>
    </row>
    <row r="497" spans="1:2">
      <c r="A497">
        <v>14507203</v>
      </c>
      <c r="B497" t="s">
        <v>1221</v>
      </c>
    </row>
    <row r="498" spans="1:2">
      <c r="A498">
        <v>14507204</v>
      </c>
      <c r="B498" t="s">
        <v>1222</v>
      </c>
    </row>
    <row r="499" spans="1:2">
      <c r="A499">
        <v>14507205</v>
      </c>
      <c r="B499" t="s">
        <v>1223</v>
      </c>
    </row>
    <row r="500" spans="1:2">
      <c r="A500">
        <v>14507206</v>
      </c>
      <c r="B500" t="s">
        <v>1224</v>
      </c>
    </row>
    <row r="501" spans="1:2">
      <c r="A501">
        <v>14507207</v>
      </c>
      <c r="B501" t="s">
        <v>1225</v>
      </c>
    </row>
    <row r="502" spans="1:2">
      <c r="A502">
        <v>14507208</v>
      </c>
      <c r="B502" t="s">
        <v>1226</v>
      </c>
    </row>
    <row r="503" spans="1:2">
      <c r="A503">
        <v>14507209</v>
      </c>
      <c r="B503" t="s">
        <v>1227</v>
      </c>
    </row>
    <row r="504" spans="1:2">
      <c r="A504">
        <v>14507301</v>
      </c>
      <c r="B504" t="s">
        <v>1244</v>
      </c>
    </row>
    <row r="505" spans="1:2">
      <c r="A505">
        <v>14507302</v>
      </c>
      <c r="B505" t="s">
        <v>1245</v>
      </c>
    </row>
    <row r="506" spans="1:2">
      <c r="A506">
        <v>14507303</v>
      </c>
      <c r="B506" t="s">
        <v>1246</v>
      </c>
    </row>
    <row r="507" spans="1:2">
      <c r="A507">
        <v>14507304</v>
      </c>
      <c r="B507" t="s">
        <v>1247</v>
      </c>
    </row>
    <row r="508" spans="1:2">
      <c r="A508">
        <v>14507305</v>
      </c>
      <c r="B508" t="s">
        <v>1248</v>
      </c>
    </row>
    <row r="509" spans="1:2">
      <c r="A509">
        <v>14507306</v>
      </c>
      <c r="B509" t="s">
        <v>1249</v>
      </c>
    </row>
    <row r="510" spans="1:2">
      <c r="A510">
        <v>14507307</v>
      </c>
      <c r="B510" t="s">
        <v>1250</v>
      </c>
    </row>
    <row r="511" spans="1:2">
      <c r="A511">
        <v>14507308</v>
      </c>
      <c r="B511" t="s">
        <v>1251</v>
      </c>
    </row>
    <row r="512" spans="1:2">
      <c r="A512">
        <v>14507309</v>
      </c>
      <c r="B512" t="s">
        <v>1252</v>
      </c>
    </row>
    <row r="513" spans="1:2">
      <c r="A513">
        <v>14507401</v>
      </c>
      <c r="B513" t="s">
        <v>1269</v>
      </c>
    </row>
    <row r="514" spans="1:2">
      <c r="A514">
        <v>14507402</v>
      </c>
      <c r="B514" t="s">
        <v>1270</v>
      </c>
    </row>
    <row r="515" spans="1:2">
      <c r="A515">
        <v>14507403</v>
      </c>
      <c r="B515" t="s">
        <v>1271</v>
      </c>
    </row>
    <row r="516" spans="1:2">
      <c r="A516">
        <v>14507404</v>
      </c>
      <c r="B516" t="s">
        <v>1272</v>
      </c>
    </row>
    <row r="517" spans="1:2">
      <c r="A517">
        <v>14507405</v>
      </c>
      <c r="B517" t="s">
        <v>1273</v>
      </c>
    </row>
    <row r="518" spans="1:2">
      <c r="A518">
        <v>14507406</v>
      </c>
      <c r="B518" t="s">
        <v>1274</v>
      </c>
    </row>
    <row r="519" spans="1:2">
      <c r="A519">
        <v>14507407</v>
      </c>
      <c r="B519" t="s">
        <v>1275</v>
      </c>
    </row>
    <row r="520" spans="1:2">
      <c r="A520">
        <v>14507408</v>
      </c>
      <c r="B520" t="s">
        <v>1276</v>
      </c>
    </row>
    <row r="521" spans="1:2">
      <c r="A521">
        <v>14507409</v>
      </c>
      <c r="B521" t="s">
        <v>1277</v>
      </c>
    </row>
    <row r="522" spans="1:2">
      <c r="A522">
        <v>14507501</v>
      </c>
      <c r="B522" t="s">
        <v>1294</v>
      </c>
    </row>
    <row r="523" spans="1:2">
      <c r="A523">
        <v>14507502</v>
      </c>
      <c r="B523" t="s">
        <v>1295</v>
      </c>
    </row>
    <row r="524" spans="1:2">
      <c r="A524">
        <v>14507503</v>
      </c>
      <c r="B524" t="s">
        <v>1296</v>
      </c>
    </row>
    <row r="525" spans="1:2">
      <c r="A525">
        <v>14507504</v>
      </c>
      <c r="B525" t="s">
        <v>1297</v>
      </c>
    </row>
    <row r="526" spans="1:2">
      <c r="A526">
        <v>14507505</v>
      </c>
      <c r="B526" t="s">
        <v>1298</v>
      </c>
    </row>
    <row r="527" spans="1:2">
      <c r="A527">
        <v>14507506</v>
      </c>
      <c r="B527" t="s">
        <v>1299</v>
      </c>
    </row>
    <row r="528" spans="1:2">
      <c r="A528">
        <v>14507507</v>
      </c>
      <c r="B528" t="s">
        <v>1300</v>
      </c>
    </row>
    <row r="529" spans="1:2">
      <c r="A529">
        <v>14507508</v>
      </c>
      <c r="B529" t="s">
        <v>2449</v>
      </c>
    </row>
    <row r="530" spans="1:2">
      <c r="A530">
        <v>14507509</v>
      </c>
      <c r="B530" t="s">
        <v>1301</v>
      </c>
    </row>
    <row r="531" spans="1:2">
      <c r="A531">
        <v>14599901</v>
      </c>
      <c r="B531" t="s">
        <v>1318</v>
      </c>
    </row>
    <row r="532" spans="1:2">
      <c r="A532">
        <v>14599902</v>
      </c>
      <c r="B532" t="s">
        <v>1319</v>
      </c>
    </row>
    <row r="533" spans="1:2">
      <c r="A533">
        <v>14599903</v>
      </c>
      <c r="B533" t="s">
        <v>1320</v>
      </c>
    </row>
    <row r="534" spans="1:2">
      <c r="A534">
        <v>14599904</v>
      </c>
      <c r="B534" t="s">
        <v>1321</v>
      </c>
    </row>
    <row r="535" spans="1:2">
      <c r="A535">
        <v>14599905</v>
      </c>
      <c r="B535" t="s">
        <v>1322</v>
      </c>
    </row>
    <row r="536" spans="1:2">
      <c r="A536">
        <v>14599906</v>
      </c>
      <c r="B536" t="s">
        <v>1323</v>
      </c>
    </row>
    <row r="537" spans="1:2">
      <c r="A537">
        <v>14599907</v>
      </c>
      <c r="B537" t="s">
        <v>1324</v>
      </c>
    </row>
    <row r="538" spans="1:2">
      <c r="A538">
        <v>14599908</v>
      </c>
      <c r="B538" t="s">
        <v>1325</v>
      </c>
    </row>
    <row r="539" spans="1:2">
      <c r="A539">
        <v>14599909</v>
      </c>
      <c r="B539" t="s">
        <v>1326</v>
      </c>
    </row>
    <row r="540" spans="1:2">
      <c r="A540">
        <v>14599910</v>
      </c>
      <c r="B540" t="s">
        <v>1327</v>
      </c>
    </row>
    <row r="541" spans="1:2">
      <c r="A541">
        <v>14599911</v>
      </c>
      <c r="B541" t="s">
        <v>1328</v>
      </c>
    </row>
    <row r="542" spans="1:2">
      <c r="A542">
        <v>14599912</v>
      </c>
      <c r="B542" t="s">
        <v>1329</v>
      </c>
    </row>
    <row r="543" spans="1:2">
      <c r="A543">
        <v>14599913</v>
      </c>
      <c r="B543" t="s">
        <v>1330</v>
      </c>
    </row>
    <row r="544" spans="1:2">
      <c r="A544">
        <v>14599914</v>
      </c>
      <c r="B544" t="s">
        <v>1331</v>
      </c>
    </row>
    <row r="545" spans="1:2">
      <c r="A545">
        <v>14599915</v>
      </c>
      <c r="B545" t="s">
        <v>1332</v>
      </c>
    </row>
    <row r="546" spans="1:2">
      <c r="A546">
        <v>14599916</v>
      </c>
      <c r="B546" t="s">
        <v>1333</v>
      </c>
    </row>
    <row r="547" spans="1:2">
      <c r="A547">
        <v>14599917</v>
      </c>
      <c r="B547" t="s">
        <v>1334</v>
      </c>
    </row>
    <row r="548" spans="1:2">
      <c r="A548">
        <v>14599918</v>
      </c>
      <c r="B548" t="s">
        <v>1335</v>
      </c>
    </row>
    <row r="549" spans="1:2">
      <c r="A549">
        <v>14599919</v>
      </c>
      <c r="B549" t="s">
        <v>1336</v>
      </c>
    </row>
    <row r="550" spans="1:2">
      <c r="A550">
        <v>14599920</v>
      </c>
      <c r="B550" t="s">
        <v>1337</v>
      </c>
    </row>
    <row r="551" spans="1:2">
      <c r="A551">
        <v>14599921</v>
      </c>
      <c r="B551" t="s">
        <v>1338</v>
      </c>
    </row>
    <row r="552" spans="1:2">
      <c r="A552">
        <v>14599922</v>
      </c>
      <c r="B552" t="s">
        <v>1339</v>
      </c>
    </row>
    <row r="553" spans="1:2">
      <c r="A553">
        <v>14599923</v>
      </c>
      <c r="B553" t="s">
        <v>1340</v>
      </c>
    </row>
    <row r="554" spans="1:2">
      <c r="A554">
        <v>14599924</v>
      </c>
      <c r="B554" t="s">
        <v>1341</v>
      </c>
    </row>
    <row r="555" spans="1:2">
      <c r="A555">
        <v>14599925</v>
      </c>
      <c r="B555" t="s">
        <v>1342</v>
      </c>
    </row>
    <row r="556" spans="1:2">
      <c r="A556">
        <v>14599926</v>
      </c>
      <c r="B556" t="s">
        <v>1343</v>
      </c>
    </row>
    <row r="557" spans="1:2">
      <c r="A557">
        <v>14599927</v>
      </c>
      <c r="B557" t="s">
        <v>1344</v>
      </c>
    </row>
    <row r="558" spans="1:2">
      <c r="A558">
        <v>14506910</v>
      </c>
      <c r="B558" t="s">
        <v>1153</v>
      </c>
    </row>
    <row r="559" spans="1:2">
      <c r="A559">
        <v>14506911</v>
      </c>
      <c r="B559" t="s">
        <v>1154</v>
      </c>
    </row>
    <row r="560" spans="1:2">
      <c r="A560">
        <v>14506912</v>
      </c>
      <c r="B560" t="s">
        <v>1155</v>
      </c>
    </row>
    <row r="561" spans="1:2">
      <c r="A561">
        <v>14506913</v>
      </c>
      <c r="B561" t="s">
        <v>1156</v>
      </c>
    </row>
    <row r="562" spans="1:2">
      <c r="A562">
        <v>14506914</v>
      </c>
      <c r="B562" t="s">
        <v>1157</v>
      </c>
    </row>
    <row r="563" spans="1:2">
      <c r="A563">
        <v>14506915</v>
      </c>
      <c r="B563" t="s">
        <v>1158</v>
      </c>
    </row>
    <row r="564" spans="1:2">
      <c r="A564">
        <v>14506916</v>
      </c>
      <c r="B564" t="s">
        <v>1159</v>
      </c>
    </row>
    <row r="565" spans="1:2">
      <c r="A565">
        <v>14506917</v>
      </c>
      <c r="B565" t="s">
        <v>1160</v>
      </c>
    </row>
    <row r="566" spans="1:2">
      <c r="A566">
        <v>14506918</v>
      </c>
      <c r="B566" t="s">
        <v>1161</v>
      </c>
    </row>
    <row r="567" spans="1:2">
      <c r="A567">
        <v>14506919</v>
      </c>
      <c r="B567" t="s">
        <v>1162</v>
      </c>
    </row>
    <row r="568" spans="1:2">
      <c r="A568">
        <v>14506920</v>
      </c>
      <c r="B568" t="s">
        <v>1163</v>
      </c>
    </row>
    <row r="569" spans="1:2">
      <c r="A569">
        <v>14506921</v>
      </c>
      <c r="B569" t="s">
        <v>1164</v>
      </c>
    </row>
    <row r="570" spans="1:2">
      <c r="A570">
        <v>14506922</v>
      </c>
      <c r="B570" t="s">
        <v>1165</v>
      </c>
    </row>
    <row r="571" spans="1:2">
      <c r="A571">
        <v>14506923</v>
      </c>
      <c r="B571" t="s">
        <v>1166</v>
      </c>
    </row>
    <row r="572" spans="1:2">
      <c r="A572">
        <v>14506924</v>
      </c>
      <c r="B572" t="s">
        <v>1167</v>
      </c>
    </row>
    <row r="573" spans="1:2">
      <c r="A573">
        <v>14506925</v>
      </c>
      <c r="B573" t="s">
        <v>1168</v>
      </c>
    </row>
    <row r="574" spans="1:2">
      <c r="A574">
        <v>14507010</v>
      </c>
      <c r="B574" t="s">
        <v>1178</v>
      </c>
    </row>
    <row r="575" spans="1:2">
      <c r="A575">
        <v>14507011</v>
      </c>
      <c r="B575" t="s">
        <v>1179</v>
      </c>
    </row>
    <row r="576" spans="1:2">
      <c r="A576">
        <v>14507012</v>
      </c>
      <c r="B576" t="s">
        <v>1180</v>
      </c>
    </row>
    <row r="577" spans="1:2">
      <c r="A577">
        <v>14507013</v>
      </c>
      <c r="B577" t="s">
        <v>1181</v>
      </c>
    </row>
    <row r="578" spans="1:2">
      <c r="A578">
        <v>14507014</v>
      </c>
      <c r="B578" t="s">
        <v>1182</v>
      </c>
    </row>
    <row r="579" spans="1:2">
      <c r="A579">
        <v>14507015</v>
      </c>
      <c r="B579" t="s">
        <v>1183</v>
      </c>
    </row>
    <row r="580" spans="1:2">
      <c r="A580">
        <v>14507016</v>
      </c>
      <c r="B580" t="s">
        <v>1184</v>
      </c>
    </row>
    <row r="581" spans="1:2">
      <c r="A581">
        <v>14507017</v>
      </c>
      <c r="B581" t="s">
        <v>1185</v>
      </c>
    </row>
    <row r="582" spans="1:2">
      <c r="A582">
        <v>14507018</v>
      </c>
      <c r="B582" t="s">
        <v>1186</v>
      </c>
    </row>
    <row r="583" spans="1:2">
      <c r="A583">
        <v>14507019</v>
      </c>
      <c r="B583" t="s">
        <v>1187</v>
      </c>
    </row>
    <row r="584" spans="1:2">
      <c r="A584">
        <v>14507020</v>
      </c>
      <c r="B584" t="s">
        <v>1188</v>
      </c>
    </row>
    <row r="585" spans="1:2">
      <c r="A585">
        <v>14507021</v>
      </c>
      <c r="B585" t="s">
        <v>1189</v>
      </c>
    </row>
    <row r="586" spans="1:2">
      <c r="A586">
        <v>14507022</v>
      </c>
      <c r="B586" t="s">
        <v>1190</v>
      </c>
    </row>
    <row r="587" spans="1:2">
      <c r="A587">
        <v>14507023</v>
      </c>
      <c r="B587" t="s">
        <v>1191</v>
      </c>
    </row>
    <row r="588" spans="1:2">
      <c r="A588">
        <v>14507024</v>
      </c>
      <c r="B588" t="s">
        <v>1192</v>
      </c>
    </row>
    <row r="589" spans="1:2">
      <c r="A589">
        <v>14507025</v>
      </c>
      <c r="B589" t="s">
        <v>1193</v>
      </c>
    </row>
    <row r="590" spans="1:2">
      <c r="A590">
        <v>14507110</v>
      </c>
      <c r="B590" t="s">
        <v>1203</v>
      </c>
    </row>
    <row r="591" spans="1:2">
      <c r="A591">
        <v>14507111</v>
      </c>
      <c r="B591" t="s">
        <v>1204</v>
      </c>
    </row>
    <row r="592" spans="1:2">
      <c r="A592">
        <v>14507112</v>
      </c>
      <c r="B592" t="s">
        <v>1205</v>
      </c>
    </row>
    <row r="593" spans="1:2">
      <c r="A593">
        <v>14507113</v>
      </c>
      <c r="B593" t="s">
        <v>1206</v>
      </c>
    </row>
    <row r="594" spans="1:2">
      <c r="A594">
        <v>14507114</v>
      </c>
      <c r="B594" t="s">
        <v>1207</v>
      </c>
    </row>
    <row r="595" spans="1:2">
      <c r="A595">
        <v>14507115</v>
      </c>
      <c r="B595" t="s">
        <v>1208</v>
      </c>
    </row>
    <row r="596" spans="1:2">
      <c r="A596">
        <v>14507116</v>
      </c>
      <c r="B596" t="s">
        <v>1209</v>
      </c>
    </row>
    <row r="597" spans="1:2">
      <c r="A597">
        <v>14507117</v>
      </c>
      <c r="B597" t="s">
        <v>1210</v>
      </c>
    </row>
    <row r="598" spans="1:2">
      <c r="A598">
        <v>14507118</v>
      </c>
      <c r="B598" t="s">
        <v>1211</v>
      </c>
    </row>
    <row r="599" spans="1:2">
      <c r="A599">
        <v>14507119</v>
      </c>
      <c r="B599" t="s">
        <v>1212</v>
      </c>
    </row>
    <row r="600" spans="1:2">
      <c r="A600">
        <v>14507120</v>
      </c>
      <c r="B600" t="s">
        <v>1213</v>
      </c>
    </row>
    <row r="601" spans="1:2">
      <c r="A601">
        <v>14507121</v>
      </c>
      <c r="B601" t="s">
        <v>1214</v>
      </c>
    </row>
    <row r="602" spans="1:2">
      <c r="A602">
        <v>14507122</v>
      </c>
      <c r="B602" t="s">
        <v>1215</v>
      </c>
    </row>
    <row r="603" spans="1:2">
      <c r="A603">
        <v>14507123</v>
      </c>
      <c r="B603" t="s">
        <v>1216</v>
      </c>
    </row>
    <row r="604" spans="1:2">
      <c r="A604">
        <v>14507124</v>
      </c>
      <c r="B604" t="s">
        <v>1217</v>
      </c>
    </row>
    <row r="605" spans="1:2">
      <c r="A605">
        <v>14507125</v>
      </c>
      <c r="B605" t="s">
        <v>1218</v>
      </c>
    </row>
    <row r="606" spans="1:2">
      <c r="A606">
        <v>14507210</v>
      </c>
      <c r="B606" t="s">
        <v>1228</v>
      </c>
    </row>
    <row r="607" spans="1:2">
      <c r="A607">
        <v>14507211</v>
      </c>
      <c r="B607" t="s">
        <v>1229</v>
      </c>
    </row>
    <row r="608" spans="1:2">
      <c r="A608">
        <v>14507212</v>
      </c>
      <c r="B608" t="s">
        <v>1230</v>
      </c>
    </row>
    <row r="609" spans="1:2">
      <c r="A609">
        <v>14507213</v>
      </c>
      <c r="B609" t="s">
        <v>1231</v>
      </c>
    </row>
    <row r="610" spans="1:2">
      <c r="A610">
        <v>14507214</v>
      </c>
      <c r="B610" t="s">
        <v>1232</v>
      </c>
    </row>
    <row r="611" spans="1:2">
      <c r="A611">
        <v>14507215</v>
      </c>
      <c r="B611" t="s">
        <v>1233</v>
      </c>
    </row>
    <row r="612" spans="1:2">
      <c r="A612">
        <v>14507216</v>
      </c>
      <c r="B612" t="s">
        <v>1234</v>
      </c>
    </row>
    <row r="613" spans="1:2">
      <c r="A613">
        <v>14507217</v>
      </c>
      <c r="B613" t="s">
        <v>1235</v>
      </c>
    </row>
    <row r="614" spans="1:2">
      <c r="A614">
        <v>14507218</v>
      </c>
      <c r="B614" t="s">
        <v>1236</v>
      </c>
    </row>
    <row r="615" spans="1:2">
      <c r="A615">
        <v>14507219</v>
      </c>
      <c r="B615" t="s">
        <v>1237</v>
      </c>
    </row>
    <row r="616" spans="1:2">
      <c r="A616">
        <v>14507220</v>
      </c>
      <c r="B616" t="s">
        <v>1238</v>
      </c>
    </row>
    <row r="617" spans="1:2">
      <c r="A617">
        <v>14507221</v>
      </c>
      <c r="B617" t="s">
        <v>1239</v>
      </c>
    </row>
    <row r="618" spans="1:2">
      <c r="A618">
        <v>14507222</v>
      </c>
      <c r="B618" t="s">
        <v>1240</v>
      </c>
    </row>
    <row r="619" spans="1:2">
      <c r="A619">
        <v>14507223</v>
      </c>
      <c r="B619" t="s">
        <v>1241</v>
      </c>
    </row>
    <row r="620" spans="1:2">
      <c r="A620">
        <v>14507224</v>
      </c>
      <c r="B620" t="s">
        <v>1242</v>
      </c>
    </row>
    <row r="621" spans="1:2">
      <c r="A621">
        <v>14507225</v>
      </c>
      <c r="B621" t="s">
        <v>1243</v>
      </c>
    </row>
    <row r="622" spans="1:2">
      <c r="A622">
        <v>14507310</v>
      </c>
      <c r="B622" t="s">
        <v>1253</v>
      </c>
    </row>
    <row r="623" spans="1:2">
      <c r="A623">
        <v>14507311</v>
      </c>
      <c r="B623" t="s">
        <v>1254</v>
      </c>
    </row>
    <row r="624" spans="1:2">
      <c r="A624">
        <v>14507312</v>
      </c>
      <c r="B624" t="s">
        <v>1255</v>
      </c>
    </row>
    <row r="625" spans="1:2">
      <c r="A625">
        <v>14507313</v>
      </c>
      <c r="B625" t="s">
        <v>1256</v>
      </c>
    </row>
    <row r="626" spans="1:2">
      <c r="A626">
        <v>14507314</v>
      </c>
      <c r="B626" t="s">
        <v>1257</v>
      </c>
    </row>
    <row r="627" spans="1:2">
      <c r="A627">
        <v>14507315</v>
      </c>
      <c r="B627" t="s">
        <v>1258</v>
      </c>
    </row>
    <row r="628" spans="1:2">
      <c r="A628">
        <v>14507316</v>
      </c>
      <c r="B628" t="s">
        <v>1259</v>
      </c>
    </row>
    <row r="629" spans="1:2">
      <c r="A629">
        <v>14507317</v>
      </c>
      <c r="B629" t="s">
        <v>1260</v>
      </c>
    </row>
    <row r="630" spans="1:2">
      <c r="A630">
        <v>14507318</v>
      </c>
      <c r="B630" t="s">
        <v>1261</v>
      </c>
    </row>
    <row r="631" spans="1:2">
      <c r="A631">
        <v>14507319</v>
      </c>
      <c r="B631" t="s">
        <v>1262</v>
      </c>
    </row>
    <row r="632" spans="1:2">
      <c r="A632">
        <v>14507320</v>
      </c>
      <c r="B632" t="s">
        <v>1263</v>
      </c>
    </row>
    <row r="633" spans="1:2">
      <c r="A633">
        <v>14507321</v>
      </c>
      <c r="B633" t="s">
        <v>1264</v>
      </c>
    </row>
    <row r="634" spans="1:2">
      <c r="A634">
        <v>14507322</v>
      </c>
      <c r="B634" t="s">
        <v>1265</v>
      </c>
    </row>
    <row r="635" spans="1:2">
      <c r="A635">
        <v>14507323</v>
      </c>
      <c r="B635" t="s">
        <v>1266</v>
      </c>
    </row>
    <row r="636" spans="1:2">
      <c r="A636">
        <v>14507324</v>
      </c>
      <c r="B636" t="s">
        <v>1267</v>
      </c>
    </row>
    <row r="637" spans="1:2">
      <c r="A637">
        <v>14507325</v>
      </c>
      <c r="B637" t="s">
        <v>1268</v>
      </c>
    </row>
    <row r="638" spans="1:2">
      <c r="A638">
        <v>14507410</v>
      </c>
      <c r="B638" t="s">
        <v>1278</v>
      </c>
    </row>
    <row r="639" spans="1:2">
      <c r="A639">
        <v>14507411</v>
      </c>
      <c r="B639" t="s">
        <v>1279</v>
      </c>
    </row>
    <row r="640" spans="1:2">
      <c r="A640">
        <v>14507412</v>
      </c>
      <c r="B640" t="s">
        <v>1280</v>
      </c>
    </row>
    <row r="641" spans="1:2">
      <c r="A641">
        <v>14507413</v>
      </c>
      <c r="B641" t="s">
        <v>1281</v>
      </c>
    </row>
    <row r="642" spans="1:2">
      <c r="A642">
        <v>14507414</v>
      </c>
      <c r="B642" t="s">
        <v>1282</v>
      </c>
    </row>
    <row r="643" spans="1:2">
      <c r="A643">
        <v>14507415</v>
      </c>
      <c r="B643" t="s">
        <v>1283</v>
      </c>
    </row>
    <row r="644" spans="1:2">
      <c r="A644">
        <v>14507416</v>
      </c>
      <c r="B644" t="s">
        <v>1284</v>
      </c>
    </row>
    <row r="645" spans="1:2">
      <c r="A645">
        <v>14507417</v>
      </c>
      <c r="B645" t="s">
        <v>1285</v>
      </c>
    </row>
    <row r="646" spans="1:2">
      <c r="A646">
        <v>14507418</v>
      </c>
      <c r="B646" t="s">
        <v>1286</v>
      </c>
    </row>
    <row r="647" spans="1:2">
      <c r="A647">
        <v>14507419</v>
      </c>
      <c r="B647" t="s">
        <v>1287</v>
      </c>
    </row>
    <row r="648" spans="1:2">
      <c r="A648">
        <v>14507420</v>
      </c>
      <c r="B648" t="s">
        <v>1288</v>
      </c>
    </row>
    <row r="649" spans="1:2">
      <c r="A649">
        <v>14507421</v>
      </c>
      <c r="B649" t="s">
        <v>1289</v>
      </c>
    </row>
    <row r="650" spans="1:2">
      <c r="A650">
        <v>14507422</v>
      </c>
      <c r="B650" t="s">
        <v>1290</v>
      </c>
    </row>
    <row r="651" spans="1:2">
      <c r="A651">
        <v>14507423</v>
      </c>
      <c r="B651" t="s">
        <v>1291</v>
      </c>
    </row>
    <row r="652" spans="1:2">
      <c r="A652">
        <v>14507424</v>
      </c>
      <c r="B652" t="s">
        <v>1292</v>
      </c>
    </row>
    <row r="653" spans="1:2">
      <c r="A653">
        <v>14507425</v>
      </c>
      <c r="B653" t="s">
        <v>1293</v>
      </c>
    </row>
    <row r="654" spans="1:2">
      <c r="A654">
        <v>14507510</v>
      </c>
      <c r="B654" t="s">
        <v>1302</v>
      </c>
    </row>
    <row r="655" spans="1:2">
      <c r="A655">
        <v>14507511</v>
      </c>
      <c r="B655" t="s">
        <v>1303</v>
      </c>
    </row>
    <row r="656" spans="1:2">
      <c r="A656">
        <v>14507512</v>
      </c>
      <c r="B656" t="s">
        <v>1304</v>
      </c>
    </row>
    <row r="657" spans="1:2">
      <c r="A657">
        <v>14507513</v>
      </c>
      <c r="B657" t="s">
        <v>1305</v>
      </c>
    </row>
    <row r="658" spans="1:2">
      <c r="A658">
        <v>14507514</v>
      </c>
      <c r="B658" t="s">
        <v>1306</v>
      </c>
    </row>
    <row r="659" spans="1:2">
      <c r="A659">
        <v>14507515</v>
      </c>
      <c r="B659" t="s">
        <v>1307</v>
      </c>
    </row>
    <row r="660" spans="1:2">
      <c r="A660">
        <v>14507516</v>
      </c>
      <c r="B660" t="s">
        <v>1308</v>
      </c>
    </row>
    <row r="661" spans="1:2">
      <c r="A661">
        <v>14507517</v>
      </c>
      <c r="B661" t="s">
        <v>1309</v>
      </c>
    </row>
    <row r="662" spans="1:2">
      <c r="A662">
        <v>14507518</v>
      </c>
      <c r="B662" t="s">
        <v>1310</v>
      </c>
    </row>
    <row r="663" spans="1:2">
      <c r="A663">
        <v>14507519</v>
      </c>
      <c r="B663" t="s">
        <v>1311</v>
      </c>
    </row>
    <row r="664" spans="1:2">
      <c r="A664">
        <v>14507520</v>
      </c>
      <c r="B664" t="s">
        <v>1312</v>
      </c>
    </row>
    <row r="665" spans="1:2">
      <c r="A665">
        <v>14507521</v>
      </c>
      <c r="B665" t="s">
        <v>1313</v>
      </c>
    </row>
    <row r="666" spans="1:2">
      <c r="A666">
        <v>14507522</v>
      </c>
      <c r="B666" t="s">
        <v>1314</v>
      </c>
    </row>
    <row r="667" spans="1:2">
      <c r="A667">
        <v>14507523</v>
      </c>
      <c r="B667" t="s">
        <v>1315</v>
      </c>
    </row>
    <row r="668" spans="1:2">
      <c r="A668">
        <v>14507524</v>
      </c>
      <c r="B668" t="s">
        <v>1316</v>
      </c>
    </row>
    <row r="669" spans="1:2">
      <c r="A669">
        <v>14507525</v>
      </c>
      <c r="B669" t="s">
        <v>1317</v>
      </c>
    </row>
    <row r="670" spans="1:2">
      <c r="A670">
        <v>14599928</v>
      </c>
      <c r="B670" t="s">
        <v>1345</v>
      </c>
    </row>
    <row r="671" spans="1:2">
      <c r="A671">
        <v>14599929</v>
      </c>
      <c r="B671" t="s">
        <v>1346</v>
      </c>
    </row>
    <row r="672" spans="1:2">
      <c r="A672">
        <v>14599930</v>
      </c>
      <c r="B672" t="s">
        <v>1347</v>
      </c>
    </row>
    <row r="673" spans="1:2">
      <c r="A673">
        <v>14599931</v>
      </c>
      <c r="B673" t="s">
        <v>1348</v>
      </c>
    </row>
    <row r="674" spans="1:2">
      <c r="A674">
        <v>14599932</v>
      </c>
      <c r="B674" t="s">
        <v>1349</v>
      </c>
    </row>
    <row r="675" spans="1:2">
      <c r="A675">
        <v>14599933</v>
      </c>
      <c r="B675" t="s">
        <v>1350</v>
      </c>
    </row>
    <row r="676" spans="1:2">
      <c r="A676">
        <v>14599934</v>
      </c>
      <c r="B676" t="s">
        <v>1351</v>
      </c>
    </row>
    <row r="677" spans="1:2">
      <c r="A677">
        <v>14599935</v>
      </c>
      <c r="B677" t="s">
        <v>1352</v>
      </c>
    </row>
    <row r="678" spans="1:2">
      <c r="A678">
        <v>14599936</v>
      </c>
      <c r="B678" t="s">
        <v>1353</v>
      </c>
    </row>
    <row r="679" spans="1:2">
      <c r="A679">
        <v>14599937</v>
      </c>
      <c r="B679" t="s">
        <v>1354</v>
      </c>
    </row>
    <row r="680" spans="1:2">
      <c r="A680">
        <v>14599938</v>
      </c>
      <c r="B680" t="s">
        <v>1355</v>
      </c>
    </row>
    <row r="681" spans="1:2">
      <c r="A681">
        <v>14599939</v>
      </c>
      <c r="B681" t="s">
        <v>1356</v>
      </c>
    </row>
    <row r="682" spans="1:2">
      <c r="A682">
        <v>14599940</v>
      </c>
      <c r="B682" t="s">
        <v>1357</v>
      </c>
    </row>
    <row r="683" spans="1:2">
      <c r="A683">
        <v>14599941</v>
      </c>
      <c r="B683" t="s">
        <v>1358</v>
      </c>
    </row>
    <row r="684" spans="1:2">
      <c r="A684">
        <v>14599942</v>
      </c>
      <c r="B684" t="s">
        <v>1359</v>
      </c>
    </row>
    <row r="685" spans="1:2">
      <c r="A685">
        <v>14599943</v>
      </c>
      <c r="B685" t="s">
        <v>1360</v>
      </c>
    </row>
    <row r="686" spans="1:2">
      <c r="A686">
        <v>15007601</v>
      </c>
      <c r="B686" t="s">
        <v>1361</v>
      </c>
    </row>
    <row r="687" spans="1:2">
      <c r="A687" t="s">
        <v>2178</v>
      </c>
      <c r="B687" t="s">
        <v>2179</v>
      </c>
    </row>
    <row r="688" spans="1:2">
      <c r="A688" t="s">
        <v>2180</v>
      </c>
      <c r="B688" t="s">
        <v>2181</v>
      </c>
    </row>
    <row r="689" spans="1:2">
      <c r="A689" t="s">
        <v>2182</v>
      </c>
      <c r="B689" t="s">
        <v>2183</v>
      </c>
    </row>
    <row r="690" spans="1:2">
      <c r="A690" t="s">
        <v>2184</v>
      </c>
      <c r="B690" t="s">
        <v>2185</v>
      </c>
    </row>
    <row r="691" spans="1:2">
      <c r="A691" t="s">
        <v>2186</v>
      </c>
      <c r="B691" t="s">
        <v>2187</v>
      </c>
    </row>
    <row r="692" spans="1:2">
      <c r="A692" t="s">
        <v>2188</v>
      </c>
      <c r="B692" t="s">
        <v>2189</v>
      </c>
    </row>
    <row r="693" spans="1:2">
      <c r="A693" t="s">
        <v>2190</v>
      </c>
      <c r="B693" t="s">
        <v>2191</v>
      </c>
    </row>
    <row r="694" spans="1:2">
      <c r="A694" t="s">
        <v>2192</v>
      </c>
      <c r="B694" t="s">
        <v>2193</v>
      </c>
    </row>
    <row r="695" spans="1:2">
      <c r="A695" t="s">
        <v>2194</v>
      </c>
      <c r="B695" t="s">
        <v>2195</v>
      </c>
    </row>
    <row r="696" spans="1:2">
      <c r="A696" t="s">
        <v>2196</v>
      </c>
      <c r="B696" t="s">
        <v>2197</v>
      </c>
    </row>
    <row r="697" spans="1:2">
      <c r="A697" t="s">
        <v>2198</v>
      </c>
      <c r="B697" t="s">
        <v>2199</v>
      </c>
    </row>
    <row r="698" spans="1:2">
      <c r="A698" t="s">
        <v>2200</v>
      </c>
      <c r="B698" t="s">
        <v>2201</v>
      </c>
    </row>
    <row r="699" spans="1:2">
      <c r="A699" t="s">
        <v>2202</v>
      </c>
      <c r="B699" t="s">
        <v>2203</v>
      </c>
    </row>
    <row r="700" spans="1:2">
      <c r="A700" t="s">
        <v>2204</v>
      </c>
      <c r="B700" t="s">
        <v>2205</v>
      </c>
    </row>
    <row r="701" spans="1:2">
      <c r="A701" t="s">
        <v>2206</v>
      </c>
      <c r="B701" t="s">
        <v>2207</v>
      </c>
    </row>
    <row r="702" spans="1:2">
      <c r="A702" t="s">
        <v>2208</v>
      </c>
      <c r="B702" t="s">
        <v>2209</v>
      </c>
    </row>
    <row r="703" spans="1:2">
      <c r="A703" t="s">
        <v>2210</v>
      </c>
      <c r="B703" t="s">
        <v>2211</v>
      </c>
    </row>
    <row r="704" spans="1:2">
      <c r="A704" t="s">
        <v>2212</v>
      </c>
      <c r="B704" t="s">
        <v>2213</v>
      </c>
    </row>
    <row r="705" spans="1:2">
      <c r="A705">
        <v>20100101</v>
      </c>
      <c r="B705" t="s">
        <v>1362</v>
      </c>
    </row>
    <row r="706" spans="1:2">
      <c r="A706">
        <v>20100201</v>
      </c>
      <c r="B706" t="s">
        <v>1363</v>
      </c>
    </row>
    <row r="707" spans="1:2">
      <c r="A707">
        <v>20199901</v>
      </c>
      <c r="B707" t="s">
        <v>1364</v>
      </c>
    </row>
    <row r="708" spans="1:2">
      <c r="A708">
        <v>20500301</v>
      </c>
      <c r="B708" t="s">
        <v>1365</v>
      </c>
    </row>
    <row r="709" spans="1:2">
      <c r="A709">
        <v>20500302</v>
      </c>
      <c r="B709" t="s">
        <v>1366</v>
      </c>
    </row>
    <row r="710" spans="1:2">
      <c r="A710">
        <v>20500303</v>
      </c>
      <c r="B710" t="s">
        <v>1367</v>
      </c>
    </row>
    <row r="711" spans="1:2">
      <c r="A711">
        <v>20500304</v>
      </c>
      <c r="B711" t="s">
        <v>1368</v>
      </c>
    </row>
    <row r="712" spans="1:2">
      <c r="A712">
        <v>20500305</v>
      </c>
      <c r="B712" t="s">
        <v>1369</v>
      </c>
    </row>
    <row r="713" spans="1:2">
      <c r="A713">
        <v>20500306</v>
      </c>
      <c r="B713" t="s">
        <v>1370</v>
      </c>
    </row>
    <row r="714" spans="1:2">
      <c r="A714">
        <v>20500307</v>
      </c>
      <c r="B714" t="s">
        <v>1369</v>
      </c>
    </row>
    <row r="715" spans="1:2">
      <c r="A715">
        <v>20500308</v>
      </c>
      <c r="B715" t="s">
        <v>1371</v>
      </c>
    </row>
    <row r="716" spans="1:2">
      <c r="A716">
        <v>20500309</v>
      </c>
      <c r="B716" t="s">
        <v>1372</v>
      </c>
    </row>
    <row r="717" spans="1:2">
      <c r="A717">
        <v>20500401</v>
      </c>
      <c r="B717" t="s">
        <v>1381</v>
      </c>
    </row>
    <row r="718" spans="1:2">
      <c r="A718">
        <v>20500402</v>
      </c>
      <c r="B718" t="s">
        <v>1382</v>
      </c>
    </row>
    <row r="719" spans="1:2">
      <c r="A719">
        <v>20500403</v>
      </c>
      <c r="B719" t="s">
        <v>1383</v>
      </c>
    </row>
    <row r="720" spans="1:2">
      <c r="A720">
        <v>20500404</v>
      </c>
      <c r="B720" t="s">
        <v>1384</v>
      </c>
    </row>
    <row r="721" spans="1:2">
      <c r="A721">
        <v>20500405</v>
      </c>
      <c r="B721" t="s">
        <v>1385</v>
      </c>
    </row>
    <row r="722" spans="1:2">
      <c r="A722">
        <v>20500406</v>
      </c>
      <c r="B722" t="s">
        <v>1386</v>
      </c>
    </row>
    <row r="723" spans="1:2">
      <c r="A723">
        <v>20500407</v>
      </c>
      <c r="B723" t="s">
        <v>1387</v>
      </c>
    </row>
    <row r="724" spans="1:2">
      <c r="A724">
        <v>20500408</v>
      </c>
      <c r="B724" t="s">
        <v>1388</v>
      </c>
    </row>
    <row r="725" spans="1:2">
      <c r="A725">
        <v>20500409</v>
      </c>
      <c r="B725" t="s">
        <v>1389</v>
      </c>
    </row>
    <row r="726" spans="1:2">
      <c r="A726">
        <v>20599901</v>
      </c>
      <c r="B726" t="s">
        <v>1398</v>
      </c>
    </row>
    <row r="727" spans="1:2">
      <c r="A727">
        <v>20599902</v>
      </c>
      <c r="B727" t="s">
        <v>1399</v>
      </c>
    </row>
    <row r="728" spans="1:2">
      <c r="A728">
        <v>20599903</v>
      </c>
      <c r="B728" t="s">
        <v>1400</v>
      </c>
    </row>
    <row r="729" spans="1:2">
      <c r="A729">
        <v>20599904</v>
      </c>
      <c r="B729" t="s">
        <v>1401</v>
      </c>
    </row>
    <row r="730" spans="1:2">
      <c r="A730">
        <v>20599905</v>
      </c>
      <c r="B730" t="s">
        <v>1402</v>
      </c>
    </row>
    <row r="731" spans="1:2">
      <c r="A731">
        <v>20599906</v>
      </c>
      <c r="B731" t="s">
        <v>1403</v>
      </c>
    </row>
    <row r="732" spans="1:2">
      <c r="A732">
        <v>20599907</v>
      </c>
      <c r="B732" t="s">
        <v>1404</v>
      </c>
    </row>
    <row r="733" spans="1:2">
      <c r="A733">
        <v>20599908</v>
      </c>
      <c r="B733" t="s">
        <v>1405</v>
      </c>
    </row>
    <row r="734" spans="1:2">
      <c r="A734">
        <v>20599909</v>
      </c>
      <c r="B734" t="s">
        <v>1406</v>
      </c>
    </row>
    <row r="735" spans="1:2">
      <c r="A735">
        <v>20599910</v>
      </c>
      <c r="B735" t="s">
        <v>1407</v>
      </c>
    </row>
    <row r="736" spans="1:2">
      <c r="A736">
        <v>20599911</v>
      </c>
      <c r="B736" t="s">
        <v>1408</v>
      </c>
    </row>
    <row r="737" spans="1:2">
      <c r="A737">
        <v>20599912</v>
      </c>
      <c r="B737" t="s">
        <v>1409</v>
      </c>
    </row>
    <row r="738" spans="1:2">
      <c r="A738">
        <v>20599913</v>
      </c>
      <c r="B738" t="s">
        <v>1410</v>
      </c>
    </row>
    <row r="739" spans="1:2">
      <c r="A739">
        <v>20599914</v>
      </c>
      <c r="B739" t="s">
        <v>1411</v>
      </c>
    </row>
    <row r="740" spans="1:2">
      <c r="A740">
        <v>20599915</v>
      </c>
      <c r="B740" t="s">
        <v>1412</v>
      </c>
    </row>
    <row r="741" spans="1:2">
      <c r="A741">
        <v>20599916</v>
      </c>
      <c r="B741" t="s">
        <v>1413</v>
      </c>
    </row>
    <row r="742" spans="1:2">
      <c r="A742">
        <v>20599917</v>
      </c>
      <c r="B742" t="s">
        <v>1414</v>
      </c>
    </row>
    <row r="743" spans="1:2">
      <c r="A743">
        <v>20599918</v>
      </c>
      <c r="B743" t="s">
        <v>1415</v>
      </c>
    </row>
    <row r="744" spans="1:2">
      <c r="A744">
        <v>20599919</v>
      </c>
      <c r="B744" t="s">
        <v>1416</v>
      </c>
    </row>
    <row r="745" spans="1:2">
      <c r="A745">
        <v>20599920</v>
      </c>
      <c r="B745" t="s">
        <v>1417</v>
      </c>
    </row>
    <row r="746" spans="1:2">
      <c r="A746">
        <v>20599921</v>
      </c>
      <c r="B746" t="s">
        <v>1418</v>
      </c>
    </row>
    <row r="747" spans="1:2">
      <c r="A747">
        <v>20599922</v>
      </c>
      <c r="B747" t="s">
        <v>1419</v>
      </c>
    </row>
    <row r="748" spans="1:2">
      <c r="A748">
        <v>20599923</v>
      </c>
      <c r="B748" t="s">
        <v>1420</v>
      </c>
    </row>
    <row r="749" spans="1:2">
      <c r="A749">
        <v>20599924</v>
      </c>
      <c r="B749" t="s">
        <v>1421</v>
      </c>
    </row>
    <row r="750" spans="1:2">
      <c r="A750">
        <v>20599925</v>
      </c>
      <c r="B750" t="s">
        <v>1422</v>
      </c>
    </row>
    <row r="751" spans="1:2">
      <c r="A751">
        <v>20599926</v>
      </c>
      <c r="B751" t="s">
        <v>1423</v>
      </c>
    </row>
    <row r="752" spans="1:2">
      <c r="A752">
        <v>20599927</v>
      </c>
      <c r="B752" t="s">
        <v>1424</v>
      </c>
    </row>
    <row r="753" spans="1:2">
      <c r="A753">
        <v>20500310</v>
      </c>
      <c r="B753" t="s">
        <v>1373</v>
      </c>
    </row>
    <row r="754" spans="1:2">
      <c r="A754">
        <v>20500311</v>
      </c>
      <c r="B754" t="s">
        <v>1374</v>
      </c>
    </row>
    <row r="755" spans="1:2">
      <c r="A755">
        <v>20500312</v>
      </c>
      <c r="B755" t="s">
        <v>1375</v>
      </c>
    </row>
    <row r="756" spans="1:2">
      <c r="A756">
        <v>20500313</v>
      </c>
      <c r="B756" t="s">
        <v>1376</v>
      </c>
    </row>
    <row r="757" spans="1:2">
      <c r="A757">
        <v>20500314</v>
      </c>
      <c r="B757" t="s">
        <v>1377</v>
      </c>
    </row>
    <row r="758" spans="1:2">
      <c r="A758">
        <v>20500315</v>
      </c>
      <c r="B758" t="s">
        <v>1378</v>
      </c>
    </row>
    <row r="759" spans="1:2">
      <c r="A759">
        <v>20500316</v>
      </c>
      <c r="B759" t="s">
        <v>1379</v>
      </c>
    </row>
    <row r="760" spans="1:2">
      <c r="A760">
        <v>20500317</v>
      </c>
      <c r="B760" t="s">
        <v>1380</v>
      </c>
    </row>
    <row r="761" spans="1:2">
      <c r="A761">
        <v>20500410</v>
      </c>
      <c r="B761" t="s">
        <v>1390</v>
      </c>
    </row>
    <row r="762" spans="1:2">
      <c r="A762">
        <v>20500411</v>
      </c>
      <c r="B762" t="s">
        <v>1391</v>
      </c>
    </row>
    <row r="763" spans="1:2">
      <c r="A763">
        <v>20500412</v>
      </c>
      <c r="B763" t="s">
        <v>1392</v>
      </c>
    </row>
    <row r="764" spans="1:2">
      <c r="A764">
        <v>20500413</v>
      </c>
      <c r="B764" t="s">
        <v>1393</v>
      </c>
    </row>
    <row r="765" spans="1:2">
      <c r="A765">
        <v>20500414</v>
      </c>
      <c r="B765" t="s">
        <v>1394</v>
      </c>
    </row>
    <row r="766" spans="1:2">
      <c r="A766">
        <v>20500415</v>
      </c>
      <c r="B766" t="s">
        <v>1395</v>
      </c>
    </row>
    <row r="767" spans="1:2">
      <c r="A767">
        <v>20500416</v>
      </c>
      <c r="B767" t="s">
        <v>1396</v>
      </c>
    </row>
    <row r="768" spans="1:2">
      <c r="A768">
        <v>20500417</v>
      </c>
      <c r="B768" t="s">
        <v>1397</v>
      </c>
    </row>
    <row r="769" spans="1:2">
      <c r="A769">
        <v>20599928</v>
      </c>
      <c r="B769" t="s">
        <v>1425</v>
      </c>
    </row>
    <row r="770" spans="1:2">
      <c r="A770">
        <v>20599929</v>
      </c>
      <c r="B770" t="s">
        <v>1426</v>
      </c>
    </row>
    <row r="771" spans="1:2">
      <c r="A771">
        <v>20599930</v>
      </c>
      <c r="B771" t="s">
        <v>1427</v>
      </c>
    </row>
    <row r="772" spans="1:2">
      <c r="A772">
        <v>20599931</v>
      </c>
      <c r="B772" t="s">
        <v>1428</v>
      </c>
    </row>
    <row r="773" spans="1:2">
      <c r="A773">
        <v>20599932</v>
      </c>
      <c r="B773" t="s">
        <v>1429</v>
      </c>
    </row>
    <row r="774" spans="1:2">
      <c r="A774">
        <v>20599933</v>
      </c>
      <c r="B774" t="s">
        <v>1430</v>
      </c>
    </row>
    <row r="775" spans="1:2">
      <c r="A775">
        <v>20599934</v>
      </c>
      <c r="B775" t="s">
        <v>1431</v>
      </c>
    </row>
    <row r="776" spans="1:2">
      <c r="A776">
        <v>20599935</v>
      </c>
      <c r="B776" t="s">
        <v>1432</v>
      </c>
    </row>
    <row r="777" spans="1:2">
      <c r="A777">
        <v>21000501</v>
      </c>
      <c r="B777" t="s">
        <v>1433</v>
      </c>
    </row>
    <row r="778" spans="1:2">
      <c r="A778">
        <v>21000502</v>
      </c>
      <c r="B778" t="s">
        <v>1434</v>
      </c>
    </row>
    <row r="779" spans="1:2">
      <c r="A779">
        <v>21000503</v>
      </c>
      <c r="B779" t="s">
        <v>1435</v>
      </c>
    </row>
    <row r="780" spans="1:2">
      <c r="A780">
        <v>21000504</v>
      </c>
      <c r="B780" t="s">
        <v>1436</v>
      </c>
    </row>
    <row r="781" spans="1:2">
      <c r="A781">
        <v>21000505</v>
      </c>
      <c r="B781" t="s">
        <v>1437</v>
      </c>
    </row>
    <row r="782" spans="1:2">
      <c r="A782">
        <v>21000506</v>
      </c>
      <c r="B782" t="s">
        <v>1438</v>
      </c>
    </row>
    <row r="783" spans="1:2">
      <c r="A783">
        <v>21000507</v>
      </c>
      <c r="B783" t="s">
        <v>1439</v>
      </c>
    </row>
    <row r="784" spans="1:2">
      <c r="A784">
        <v>21000508</v>
      </c>
      <c r="B784" t="s">
        <v>1440</v>
      </c>
    </row>
    <row r="785" spans="1:2">
      <c r="A785">
        <v>21000509</v>
      </c>
      <c r="B785" t="s">
        <v>1441</v>
      </c>
    </row>
    <row r="786" spans="1:2">
      <c r="A786">
        <v>21000510</v>
      </c>
      <c r="B786" t="s">
        <v>1442</v>
      </c>
    </row>
    <row r="787" spans="1:2">
      <c r="A787">
        <v>21000511</v>
      </c>
      <c r="B787" t="s">
        <v>1443</v>
      </c>
    </row>
    <row r="788" spans="1:2">
      <c r="A788">
        <v>21000512</v>
      </c>
      <c r="B788" t="s">
        <v>1444</v>
      </c>
    </row>
    <row r="789" spans="1:2">
      <c r="A789">
        <v>21000513</v>
      </c>
      <c r="B789" t="s">
        <v>1445</v>
      </c>
    </row>
    <row r="790" spans="1:2">
      <c r="A790">
        <v>21000514</v>
      </c>
      <c r="B790" t="s">
        <v>1446</v>
      </c>
    </row>
    <row r="791" spans="1:2">
      <c r="A791">
        <v>21000515</v>
      </c>
      <c r="B791" t="s">
        <v>1447</v>
      </c>
    </row>
    <row r="792" spans="1:2">
      <c r="A792">
        <v>21000516</v>
      </c>
      <c r="B792" t="s">
        <v>1448</v>
      </c>
    </row>
    <row r="793" spans="1:2">
      <c r="A793">
        <v>21000517</v>
      </c>
      <c r="B793" t="s">
        <v>1449</v>
      </c>
    </row>
    <row r="794" spans="1:2">
      <c r="A794">
        <v>21000518</v>
      </c>
      <c r="B794" t="s">
        <v>1450</v>
      </c>
    </row>
    <row r="795" spans="1:2">
      <c r="A795">
        <v>21000519</v>
      </c>
      <c r="B795" t="s">
        <v>1451</v>
      </c>
    </row>
    <row r="796" spans="1:2">
      <c r="A796">
        <v>21000520</v>
      </c>
      <c r="B796" t="s">
        <v>1452</v>
      </c>
    </row>
    <row r="797" spans="1:2">
      <c r="A797">
        <v>21000521</v>
      </c>
      <c r="B797" t="s">
        <v>1453</v>
      </c>
    </row>
    <row r="798" spans="1:2">
      <c r="A798">
        <v>21000522</v>
      </c>
      <c r="B798" t="s">
        <v>1454</v>
      </c>
    </row>
    <row r="799" spans="1:2">
      <c r="A799">
        <v>21000523</v>
      </c>
      <c r="B799" t="s">
        <v>1455</v>
      </c>
    </row>
    <row r="800" spans="1:2">
      <c r="A800">
        <v>21000524</v>
      </c>
      <c r="B800" t="s">
        <v>1456</v>
      </c>
    </row>
    <row r="801" spans="1:2">
      <c r="A801">
        <v>21000525</v>
      </c>
      <c r="B801" t="s">
        <v>1457</v>
      </c>
    </row>
    <row r="802" spans="1:2">
      <c r="A802">
        <v>21000526</v>
      </c>
      <c r="B802" t="s">
        <v>1458</v>
      </c>
    </row>
    <row r="803" spans="1:2">
      <c r="A803">
        <v>21000527</v>
      </c>
      <c r="B803" t="s">
        <v>1459</v>
      </c>
    </row>
    <row r="804" spans="1:2">
      <c r="A804">
        <v>21000528</v>
      </c>
      <c r="B804" t="s">
        <v>1460</v>
      </c>
    </row>
    <row r="805" spans="1:2">
      <c r="A805">
        <v>21000529</v>
      </c>
      <c r="B805" t="s">
        <v>1461</v>
      </c>
    </row>
    <row r="806" spans="1:2">
      <c r="A806">
        <v>21000530</v>
      </c>
      <c r="B806" t="s">
        <v>1462</v>
      </c>
    </row>
    <row r="807" spans="1:2">
      <c r="A807">
        <v>21000531</v>
      </c>
      <c r="B807" t="s">
        <v>1463</v>
      </c>
    </row>
    <row r="808" spans="1:2">
      <c r="A808">
        <v>21000532</v>
      </c>
      <c r="B808" t="s">
        <v>1464</v>
      </c>
    </row>
    <row r="809" spans="1:2">
      <c r="A809">
        <v>22000601</v>
      </c>
      <c r="B809" t="s">
        <v>1465</v>
      </c>
    </row>
    <row r="810" spans="1:2">
      <c r="A810">
        <v>22000602</v>
      </c>
      <c r="B810" t="s">
        <v>1466</v>
      </c>
    </row>
    <row r="811" spans="1:2">
      <c r="A811">
        <v>22000603</v>
      </c>
      <c r="B811" t="s">
        <v>1467</v>
      </c>
    </row>
    <row r="812" spans="1:2">
      <c r="A812">
        <v>22000604</v>
      </c>
      <c r="B812" t="s">
        <v>1468</v>
      </c>
    </row>
    <row r="813" spans="1:2">
      <c r="A813">
        <v>22000605</v>
      </c>
      <c r="B813" t="s">
        <v>1469</v>
      </c>
    </row>
    <row r="814" spans="1:2">
      <c r="A814">
        <v>22000606</v>
      </c>
      <c r="B814" t="s">
        <v>1470</v>
      </c>
    </row>
    <row r="815" spans="1:2">
      <c r="A815">
        <v>22000607</v>
      </c>
      <c r="B815" t="s">
        <v>1471</v>
      </c>
    </row>
    <row r="816" spans="1:2">
      <c r="A816">
        <v>22000608</v>
      </c>
      <c r="B816" t="s">
        <v>1472</v>
      </c>
    </row>
    <row r="817" spans="1:2">
      <c r="A817">
        <v>22000609</v>
      </c>
      <c r="B817" t="s">
        <v>1473</v>
      </c>
    </row>
    <row r="818" spans="1:2">
      <c r="A818">
        <v>22000610</v>
      </c>
      <c r="B818" t="s">
        <v>1474</v>
      </c>
    </row>
    <row r="819" spans="1:2">
      <c r="A819">
        <v>22000611</v>
      </c>
      <c r="B819" t="s">
        <v>1475</v>
      </c>
    </row>
    <row r="820" spans="1:2">
      <c r="A820">
        <v>22000612</v>
      </c>
      <c r="B820" t="s">
        <v>1476</v>
      </c>
    </row>
    <row r="821" spans="1:2">
      <c r="A821">
        <v>22000613</v>
      </c>
      <c r="B821" t="s">
        <v>1477</v>
      </c>
    </row>
    <row r="822" spans="1:2">
      <c r="A822">
        <v>22000614</v>
      </c>
      <c r="B822" t="s">
        <v>1478</v>
      </c>
    </row>
    <row r="823" spans="1:2">
      <c r="A823">
        <v>22000615</v>
      </c>
      <c r="B823" t="s">
        <v>1479</v>
      </c>
    </row>
    <row r="824" spans="1:2">
      <c r="A824">
        <v>22000616</v>
      </c>
      <c r="B824" t="s">
        <v>1480</v>
      </c>
    </row>
    <row r="825" spans="1:2">
      <c r="A825">
        <v>22000617</v>
      </c>
      <c r="B825" t="s">
        <v>1481</v>
      </c>
    </row>
    <row r="826" spans="1:2">
      <c r="A826">
        <v>22500701</v>
      </c>
      <c r="B826" t="s">
        <v>1482</v>
      </c>
    </row>
    <row r="827" spans="1:2">
      <c r="A827">
        <v>22500702</v>
      </c>
      <c r="B827" t="s">
        <v>1483</v>
      </c>
    </row>
    <row r="828" spans="1:2">
      <c r="A828">
        <v>22500703</v>
      </c>
      <c r="B828" t="s">
        <v>1484</v>
      </c>
    </row>
    <row r="829" spans="1:2">
      <c r="A829">
        <v>22500704</v>
      </c>
      <c r="B829" t="s">
        <v>1485</v>
      </c>
    </row>
    <row r="830" spans="1:2">
      <c r="A830">
        <v>22500705</v>
      </c>
      <c r="B830" t="s">
        <v>1486</v>
      </c>
    </row>
    <row r="831" spans="1:2">
      <c r="A831">
        <v>22500706</v>
      </c>
      <c r="B831" t="s">
        <v>1487</v>
      </c>
    </row>
    <row r="832" spans="1:2">
      <c r="A832">
        <v>22500707</v>
      </c>
      <c r="B832" t="s">
        <v>1488</v>
      </c>
    </row>
    <row r="833" spans="1:2">
      <c r="A833">
        <v>22500708</v>
      </c>
      <c r="B833" t="s">
        <v>1489</v>
      </c>
    </row>
    <row r="834" spans="1:2">
      <c r="A834">
        <v>22500709</v>
      </c>
      <c r="B834" t="s">
        <v>1490</v>
      </c>
    </row>
    <row r="835" spans="1:2">
      <c r="A835">
        <v>22500710</v>
      </c>
      <c r="B835" t="s">
        <v>1483</v>
      </c>
    </row>
    <row r="836" spans="1:2">
      <c r="A836">
        <v>22500711</v>
      </c>
      <c r="B836" t="s">
        <v>1491</v>
      </c>
    </row>
    <row r="837" spans="1:2">
      <c r="A837">
        <v>22500712</v>
      </c>
      <c r="B837" t="s">
        <v>1492</v>
      </c>
    </row>
    <row r="838" spans="1:2">
      <c r="A838">
        <v>22500713</v>
      </c>
      <c r="B838" t="s">
        <v>1484</v>
      </c>
    </row>
    <row r="839" spans="1:2">
      <c r="A839">
        <v>22500714</v>
      </c>
      <c r="B839" t="s">
        <v>1485</v>
      </c>
    </row>
    <row r="840" spans="1:2">
      <c r="A840">
        <v>22500715</v>
      </c>
      <c r="B840" t="s">
        <v>1486</v>
      </c>
    </row>
    <row r="841" spans="1:2">
      <c r="A841">
        <v>22500716</v>
      </c>
      <c r="B841" t="s">
        <v>1487</v>
      </c>
    </row>
    <row r="842" spans="1:2">
      <c r="A842">
        <v>22500801</v>
      </c>
      <c r="B842" t="s">
        <v>1493</v>
      </c>
    </row>
    <row r="843" spans="1:2">
      <c r="A843">
        <v>22500802</v>
      </c>
      <c r="B843" t="s">
        <v>1494</v>
      </c>
    </row>
    <row r="844" spans="1:2">
      <c r="A844">
        <v>22500803</v>
      </c>
      <c r="B844" t="s">
        <v>1495</v>
      </c>
    </row>
    <row r="845" spans="1:2">
      <c r="A845">
        <v>22500804</v>
      </c>
      <c r="B845" t="s">
        <v>1496</v>
      </c>
    </row>
    <row r="846" spans="1:2">
      <c r="A846">
        <v>22500805</v>
      </c>
      <c r="B846" t="s">
        <v>1497</v>
      </c>
    </row>
    <row r="847" spans="1:2">
      <c r="A847">
        <v>22500806</v>
      </c>
      <c r="B847" t="s">
        <v>1498</v>
      </c>
    </row>
    <row r="848" spans="1:2">
      <c r="A848">
        <v>23000901</v>
      </c>
      <c r="B848" t="s">
        <v>1499</v>
      </c>
    </row>
    <row r="849" spans="1:2">
      <c r="A849">
        <v>23000902</v>
      </c>
      <c r="B849" t="s">
        <v>1500</v>
      </c>
    </row>
    <row r="850" spans="1:2">
      <c r="A850">
        <v>23000903</v>
      </c>
      <c r="B850" t="s">
        <v>1501</v>
      </c>
    </row>
    <row r="851" spans="1:2">
      <c r="A851">
        <v>23000904</v>
      </c>
      <c r="B851" t="s">
        <v>1502</v>
      </c>
    </row>
    <row r="852" spans="1:2">
      <c r="A852">
        <v>23000905</v>
      </c>
      <c r="B852" t="s">
        <v>1503</v>
      </c>
    </row>
    <row r="853" spans="1:2">
      <c r="A853">
        <v>23000906</v>
      </c>
      <c r="B853" t="s">
        <v>1504</v>
      </c>
    </row>
    <row r="854" spans="1:2">
      <c r="A854">
        <v>29901001</v>
      </c>
      <c r="B854" t="s">
        <v>1505</v>
      </c>
    </row>
    <row r="855" spans="1:2">
      <c r="A855" t="s">
        <v>2214</v>
      </c>
      <c r="B855" t="s">
        <v>2215</v>
      </c>
    </row>
    <row r="856" spans="1:2">
      <c r="A856" t="s">
        <v>2216</v>
      </c>
      <c r="B856" t="s">
        <v>2217</v>
      </c>
    </row>
    <row r="857" spans="1:2">
      <c r="A857" t="s">
        <v>2218</v>
      </c>
      <c r="B857" t="s">
        <v>2219</v>
      </c>
    </row>
    <row r="858" spans="1:2">
      <c r="A858" t="s">
        <v>2220</v>
      </c>
      <c r="B858" t="s">
        <v>2221</v>
      </c>
    </row>
    <row r="859" spans="1:2">
      <c r="A859" t="s">
        <v>2222</v>
      </c>
      <c r="B859" t="s">
        <v>2223</v>
      </c>
    </row>
    <row r="860" spans="1:2">
      <c r="A860" t="s">
        <v>2224</v>
      </c>
      <c r="B860" t="s">
        <v>2225</v>
      </c>
    </row>
    <row r="861" spans="1:2">
      <c r="A861" t="s">
        <v>2226</v>
      </c>
      <c r="B861" t="s">
        <v>2227</v>
      </c>
    </row>
    <row r="862" spans="1:2">
      <c r="A862" t="s">
        <v>2228</v>
      </c>
      <c r="B862" t="s">
        <v>2229</v>
      </c>
    </row>
    <row r="863" spans="1:2">
      <c r="A863" t="s">
        <v>2230</v>
      </c>
      <c r="B863" t="s">
        <v>2231</v>
      </c>
    </row>
    <row r="864" spans="1:2">
      <c r="A864" t="s">
        <v>2232</v>
      </c>
      <c r="B864" t="s">
        <v>2233</v>
      </c>
    </row>
    <row r="865" spans="1:2">
      <c r="A865" t="s">
        <v>2234</v>
      </c>
      <c r="B865" t="s">
        <v>2235</v>
      </c>
    </row>
    <row r="866" spans="1:2">
      <c r="A866" t="s">
        <v>2236</v>
      </c>
      <c r="B866" t="s">
        <v>2237</v>
      </c>
    </row>
    <row r="867" spans="1:2">
      <c r="A867" t="s">
        <v>2238</v>
      </c>
      <c r="B867" t="s">
        <v>2239</v>
      </c>
    </row>
    <row r="868" spans="1:2">
      <c r="A868" t="s">
        <v>2240</v>
      </c>
      <c r="B868" t="s">
        <v>2241</v>
      </c>
    </row>
    <row r="869" spans="1:2">
      <c r="A869" t="s">
        <v>2242</v>
      </c>
      <c r="B869" t="s">
        <v>2243</v>
      </c>
    </row>
    <row r="870" spans="1:2">
      <c r="A870" t="s">
        <v>2244</v>
      </c>
      <c r="B870" t="s">
        <v>2245</v>
      </c>
    </row>
    <row r="871" spans="1:2">
      <c r="A871" t="s">
        <v>2246</v>
      </c>
      <c r="B871" t="s">
        <v>2247</v>
      </c>
    </row>
    <row r="872" spans="1:2">
      <c r="A872" t="s">
        <v>2248</v>
      </c>
      <c r="B872" t="s">
        <v>2249</v>
      </c>
    </row>
    <row r="873" spans="1:2">
      <c r="A873">
        <v>30100101</v>
      </c>
      <c r="B873" t="s">
        <v>1506</v>
      </c>
    </row>
    <row r="874" spans="1:2">
      <c r="A874">
        <v>30100201</v>
      </c>
      <c r="B874" t="s">
        <v>1507</v>
      </c>
    </row>
    <row r="875" spans="1:2">
      <c r="A875">
        <v>30199901</v>
      </c>
      <c r="B875" t="s">
        <v>1508</v>
      </c>
    </row>
    <row r="876" spans="1:2">
      <c r="A876">
        <v>30500301</v>
      </c>
      <c r="B876" t="s">
        <v>1509</v>
      </c>
    </row>
    <row r="877" spans="1:2">
      <c r="A877">
        <v>30500302</v>
      </c>
      <c r="B877" t="s">
        <v>1510</v>
      </c>
    </row>
    <row r="878" spans="1:2">
      <c r="A878">
        <v>30500303</v>
      </c>
      <c r="B878" t="s">
        <v>1511</v>
      </c>
    </row>
    <row r="879" spans="1:2">
      <c r="A879">
        <v>30500304</v>
      </c>
      <c r="B879" t="s">
        <v>1512</v>
      </c>
    </row>
    <row r="880" spans="1:2">
      <c r="A880">
        <v>30500305</v>
      </c>
      <c r="B880" t="s">
        <v>1513</v>
      </c>
    </row>
    <row r="881" spans="1:2">
      <c r="A881">
        <v>30500306</v>
      </c>
      <c r="B881" t="s">
        <v>1514</v>
      </c>
    </row>
    <row r="882" spans="1:2">
      <c r="A882">
        <v>30500307</v>
      </c>
      <c r="B882" t="s">
        <v>1513</v>
      </c>
    </row>
    <row r="883" spans="1:2">
      <c r="A883">
        <v>30500308</v>
      </c>
      <c r="B883" t="s">
        <v>1515</v>
      </c>
    </row>
    <row r="884" spans="1:2">
      <c r="A884">
        <v>30500309</v>
      </c>
      <c r="B884" t="s">
        <v>1516</v>
      </c>
    </row>
    <row r="885" spans="1:2">
      <c r="A885">
        <v>30500401</v>
      </c>
      <c r="B885" t="s">
        <v>1525</v>
      </c>
    </row>
    <row r="886" spans="1:2">
      <c r="A886">
        <v>30500402</v>
      </c>
      <c r="B886" t="s">
        <v>1526</v>
      </c>
    </row>
    <row r="887" spans="1:2">
      <c r="A887">
        <v>30500403</v>
      </c>
      <c r="B887" t="s">
        <v>1527</v>
      </c>
    </row>
    <row r="888" spans="1:2">
      <c r="A888">
        <v>30500404</v>
      </c>
      <c r="B888" t="s">
        <v>1528</v>
      </c>
    </row>
    <row r="889" spans="1:2">
      <c r="A889">
        <v>30500405</v>
      </c>
      <c r="B889" t="s">
        <v>1529</v>
      </c>
    </row>
    <row r="890" spans="1:2">
      <c r="A890">
        <v>30500406</v>
      </c>
      <c r="B890" t="s">
        <v>1530</v>
      </c>
    </row>
    <row r="891" spans="1:2">
      <c r="A891">
        <v>30500407</v>
      </c>
      <c r="B891" t="s">
        <v>1531</v>
      </c>
    </row>
    <row r="892" spans="1:2">
      <c r="A892">
        <v>30500408</v>
      </c>
      <c r="B892" t="s">
        <v>1532</v>
      </c>
    </row>
    <row r="893" spans="1:2">
      <c r="A893">
        <v>30500409</v>
      </c>
      <c r="B893" t="s">
        <v>1533</v>
      </c>
    </row>
    <row r="894" spans="1:2">
      <c r="A894">
        <v>30599901</v>
      </c>
      <c r="B894" t="s">
        <v>1542</v>
      </c>
    </row>
    <row r="895" spans="1:2">
      <c r="A895">
        <v>30599902</v>
      </c>
      <c r="B895" t="s">
        <v>1543</v>
      </c>
    </row>
    <row r="896" spans="1:2">
      <c r="A896">
        <v>30599903</v>
      </c>
      <c r="B896" t="s">
        <v>1544</v>
      </c>
    </row>
    <row r="897" spans="1:2">
      <c r="A897">
        <v>30599904</v>
      </c>
      <c r="B897" t="s">
        <v>1545</v>
      </c>
    </row>
    <row r="898" spans="1:2">
      <c r="A898">
        <v>30599905</v>
      </c>
      <c r="B898" t="s">
        <v>1546</v>
      </c>
    </row>
    <row r="899" spans="1:2">
      <c r="A899">
        <v>30599906</v>
      </c>
      <c r="B899" t="s">
        <v>1547</v>
      </c>
    </row>
    <row r="900" spans="1:2">
      <c r="A900">
        <v>30599907</v>
      </c>
      <c r="B900" t="s">
        <v>1548</v>
      </c>
    </row>
    <row r="901" spans="1:2">
      <c r="A901">
        <v>30599908</v>
      </c>
      <c r="B901" t="s">
        <v>1549</v>
      </c>
    </row>
    <row r="902" spans="1:2">
      <c r="A902">
        <v>30599909</v>
      </c>
      <c r="B902" t="s">
        <v>1550</v>
      </c>
    </row>
    <row r="903" spans="1:2">
      <c r="A903">
        <v>30599910</v>
      </c>
      <c r="B903" t="s">
        <v>1551</v>
      </c>
    </row>
    <row r="904" spans="1:2">
      <c r="A904">
        <v>30599911</v>
      </c>
      <c r="B904" t="s">
        <v>1552</v>
      </c>
    </row>
    <row r="905" spans="1:2">
      <c r="A905">
        <v>30599912</v>
      </c>
      <c r="B905" t="s">
        <v>1553</v>
      </c>
    </row>
    <row r="906" spans="1:2">
      <c r="A906">
        <v>30599913</v>
      </c>
      <c r="B906" t="s">
        <v>1554</v>
      </c>
    </row>
    <row r="907" spans="1:2">
      <c r="A907">
        <v>30599914</v>
      </c>
      <c r="B907" t="s">
        <v>1555</v>
      </c>
    </row>
    <row r="908" spans="1:2">
      <c r="A908">
        <v>30599915</v>
      </c>
      <c r="B908" t="s">
        <v>1556</v>
      </c>
    </row>
    <row r="909" spans="1:2">
      <c r="A909">
        <v>30599916</v>
      </c>
      <c r="B909" t="s">
        <v>1557</v>
      </c>
    </row>
    <row r="910" spans="1:2">
      <c r="A910">
        <v>30599917</v>
      </c>
      <c r="B910" t="s">
        <v>1558</v>
      </c>
    </row>
    <row r="911" spans="1:2">
      <c r="A911">
        <v>30599918</v>
      </c>
      <c r="B911" t="s">
        <v>1559</v>
      </c>
    </row>
    <row r="912" spans="1:2">
      <c r="A912">
        <v>30599919</v>
      </c>
      <c r="B912" t="s">
        <v>1560</v>
      </c>
    </row>
    <row r="913" spans="1:2">
      <c r="A913">
        <v>30599920</v>
      </c>
      <c r="B913" t="s">
        <v>1561</v>
      </c>
    </row>
    <row r="914" spans="1:2">
      <c r="A914">
        <v>30599921</v>
      </c>
      <c r="B914" t="s">
        <v>1562</v>
      </c>
    </row>
    <row r="915" spans="1:2">
      <c r="A915">
        <v>30599922</v>
      </c>
      <c r="B915" t="s">
        <v>1563</v>
      </c>
    </row>
    <row r="916" spans="1:2">
      <c r="A916">
        <v>30599923</v>
      </c>
      <c r="B916" t="s">
        <v>1564</v>
      </c>
    </row>
    <row r="917" spans="1:2">
      <c r="A917">
        <v>30599924</v>
      </c>
      <c r="B917" t="s">
        <v>1565</v>
      </c>
    </row>
    <row r="918" spans="1:2">
      <c r="A918">
        <v>30599925</v>
      </c>
      <c r="B918" t="s">
        <v>1566</v>
      </c>
    </row>
    <row r="919" spans="1:2">
      <c r="A919">
        <v>30599926</v>
      </c>
      <c r="B919" t="s">
        <v>1567</v>
      </c>
    </row>
    <row r="920" spans="1:2">
      <c r="A920">
        <v>30599927</v>
      </c>
      <c r="B920" t="s">
        <v>1568</v>
      </c>
    </row>
    <row r="921" spans="1:2">
      <c r="A921">
        <v>30500310</v>
      </c>
      <c r="B921" t="s">
        <v>1517</v>
      </c>
    </row>
    <row r="922" spans="1:2">
      <c r="A922">
        <v>30500311</v>
      </c>
      <c r="B922" t="s">
        <v>1518</v>
      </c>
    </row>
    <row r="923" spans="1:2">
      <c r="A923">
        <v>30500312</v>
      </c>
      <c r="B923" t="s">
        <v>1519</v>
      </c>
    </row>
    <row r="924" spans="1:2">
      <c r="A924">
        <v>30500313</v>
      </c>
      <c r="B924" t="s">
        <v>1520</v>
      </c>
    </row>
    <row r="925" spans="1:2">
      <c r="A925">
        <v>30500314</v>
      </c>
      <c r="B925" t="s">
        <v>1521</v>
      </c>
    </row>
    <row r="926" spans="1:2">
      <c r="A926">
        <v>30500315</v>
      </c>
      <c r="B926" t="s">
        <v>1522</v>
      </c>
    </row>
    <row r="927" spans="1:2">
      <c r="A927">
        <v>30500316</v>
      </c>
      <c r="B927" t="s">
        <v>1523</v>
      </c>
    </row>
    <row r="928" spans="1:2">
      <c r="A928">
        <v>30500317</v>
      </c>
      <c r="B928" t="s">
        <v>1524</v>
      </c>
    </row>
    <row r="929" spans="1:2">
      <c r="A929">
        <v>30500410</v>
      </c>
      <c r="B929" t="s">
        <v>1534</v>
      </c>
    </row>
    <row r="930" spans="1:2">
      <c r="A930">
        <v>30500411</v>
      </c>
      <c r="B930" t="s">
        <v>1535</v>
      </c>
    </row>
    <row r="931" spans="1:2">
      <c r="A931">
        <v>30500412</v>
      </c>
      <c r="B931" t="s">
        <v>1536</v>
      </c>
    </row>
    <row r="932" spans="1:2">
      <c r="A932">
        <v>30500413</v>
      </c>
      <c r="B932" t="s">
        <v>1537</v>
      </c>
    </row>
    <row r="933" spans="1:2">
      <c r="A933">
        <v>30500414</v>
      </c>
      <c r="B933" t="s">
        <v>1538</v>
      </c>
    </row>
    <row r="934" spans="1:2">
      <c r="A934">
        <v>30500415</v>
      </c>
      <c r="B934" t="s">
        <v>1539</v>
      </c>
    </row>
    <row r="935" spans="1:2">
      <c r="A935">
        <v>30500416</v>
      </c>
      <c r="B935" t="s">
        <v>1540</v>
      </c>
    </row>
    <row r="936" spans="1:2">
      <c r="A936">
        <v>30500417</v>
      </c>
      <c r="B936" t="s">
        <v>1541</v>
      </c>
    </row>
    <row r="937" spans="1:2">
      <c r="A937">
        <v>30599928</v>
      </c>
      <c r="B937" t="s">
        <v>1569</v>
      </c>
    </row>
    <row r="938" spans="1:2">
      <c r="A938">
        <v>30599929</v>
      </c>
      <c r="B938" t="s">
        <v>1570</v>
      </c>
    </row>
    <row r="939" spans="1:2">
      <c r="A939">
        <v>30599930</v>
      </c>
      <c r="B939" t="s">
        <v>1571</v>
      </c>
    </row>
    <row r="940" spans="1:2">
      <c r="A940">
        <v>30599931</v>
      </c>
      <c r="B940" t="s">
        <v>1572</v>
      </c>
    </row>
    <row r="941" spans="1:2">
      <c r="A941">
        <v>30599932</v>
      </c>
      <c r="B941" t="s">
        <v>1573</v>
      </c>
    </row>
    <row r="942" spans="1:2">
      <c r="A942">
        <v>30599933</v>
      </c>
      <c r="B942" t="s">
        <v>1574</v>
      </c>
    </row>
    <row r="943" spans="1:2">
      <c r="A943">
        <v>30599934</v>
      </c>
      <c r="B943" t="s">
        <v>1575</v>
      </c>
    </row>
    <row r="944" spans="1:2">
      <c r="A944">
        <v>30599935</v>
      </c>
      <c r="B944" t="s">
        <v>1576</v>
      </c>
    </row>
    <row r="945" spans="1:2">
      <c r="A945">
        <v>31000501</v>
      </c>
      <c r="B945" t="s">
        <v>1577</v>
      </c>
    </row>
    <row r="946" spans="1:2">
      <c r="A946">
        <v>31000502</v>
      </c>
      <c r="B946" t="s">
        <v>1578</v>
      </c>
    </row>
    <row r="947" spans="1:2">
      <c r="A947">
        <v>31000503</v>
      </c>
      <c r="B947" t="s">
        <v>1579</v>
      </c>
    </row>
    <row r="948" spans="1:2">
      <c r="A948">
        <v>31000504</v>
      </c>
      <c r="B948" t="s">
        <v>1580</v>
      </c>
    </row>
    <row r="949" spans="1:2">
      <c r="A949">
        <v>31000505</v>
      </c>
      <c r="B949" t="s">
        <v>1581</v>
      </c>
    </row>
    <row r="950" spans="1:2">
      <c r="A950">
        <v>31000506</v>
      </c>
      <c r="B950" t="s">
        <v>1582</v>
      </c>
    </row>
    <row r="951" spans="1:2">
      <c r="A951">
        <v>31000507</v>
      </c>
      <c r="B951" t="s">
        <v>1583</v>
      </c>
    </row>
    <row r="952" spans="1:2">
      <c r="A952">
        <v>31000508</v>
      </c>
      <c r="B952" t="s">
        <v>1584</v>
      </c>
    </row>
    <row r="953" spans="1:2">
      <c r="A953">
        <v>31000509</v>
      </c>
      <c r="B953" t="s">
        <v>1585</v>
      </c>
    </row>
    <row r="954" spans="1:2">
      <c r="A954">
        <v>31000510</v>
      </c>
      <c r="B954" t="s">
        <v>1586</v>
      </c>
    </row>
    <row r="955" spans="1:2">
      <c r="A955">
        <v>31000511</v>
      </c>
      <c r="B955" t="s">
        <v>1587</v>
      </c>
    </row>
    <row r="956" spans="1:2">
      <c r="A956">
        <v>31000512</v>
      </c>
      <c r="B956" t="s">
        <v>1588</v>
      </c>
    </row>
    <row r="957" spans="1:2">
      <c r="A957">
        <v>31000513</v>
      </c>
      <c r="B957" t="s">
        <v>1589</v>
      </c>
    </row>
    <row r="958" spans="1:2">
      <c r="A958">
        <v>31000514</v>
      </c>
      <c r="B958" t="s">
        <v>1590</v>
      </c>
    </row>
    <row r="959" spans="1:2">
      <c r="A959">
        <v>31000515</v>
      </c>
      <c r="B959" t="s">
        <v>1591</v>
      </c>
    </row>
    <row r="960" spans="1:2">
      <c r="A960">
        <v>31000516</v>
      </c>
      <c r="B960" t="s">
        <v>1592</v>
      </c>
    </row>
    <row r="961" spans="1:2">
      <c r="A961">
        <v>31000517</v>
      </c>
      <c r="B961" t="s">
        <v>1593</v>
      </c>
    </row>
    <row r="962" spans="1:2">
      <c r="A962">
        <v>31000518</v>
      </c>
      <c r="B962" t="s">
        <v>1594</v>
      </c>
    </row>
    <row r="963" spans="1:2">
      <c r="A963">
        <v>31000519</v>
      </c>
      <c r="B963" t="s">
        <v>1595</v>
      </c>
    </row>
    <row r="964" spans="1:2">
      <c r="A964">
        <v>31000520</v>
      </c>
      <c r="B964" t="s">
        <v>1596</v>
      </c>
    </row>
    <row r="965" spans="1:2">
      <c r="A965">
        <v>31000521</v>
      </c>
      <c r="B965" t="s">
        <v>1597</v>
      </c>
    </row>
    <row r="966" spans="1:2">
      <c r="A966">
        <v>31000522</v>
      </c>
      <c r="B966" t="s">
        <v>1598</v>
      </c>
    </row>
    <row r="967" spans="1:2">
      <c r="A967">
        <v>31000523</v>
      </c>
      <c r="B967" t="s">
        <v>1599</v>
      </c>
    </row>
    <row r="968" spans="1:2">
      <c r="A968">
        <v>31000524</v>
      </c>
      <c r="B968" t="s">
        <v>1600</v>
      </c>
    </row>
    <row r="969" spans="1:2">
      <c r="A969">
        <v>31000525</v>
      </c>
      <c r="B969" t="s">
        <v>1601</v>
      </c>
    </row>
    <row r="970" spans="1:2">
      <c r="A970">
        <v>31000526</v>
      </c>
      <c r="B970" t="s">
        <v>1602</v>
      </c>
    </row>
    <row r="971" spans="1:2">
      <c r="A971">
        <v>31000527</v>
      </c>
      <c r="B971" t="s">
        <v>1603</v>
      </c>
    </row>
    <row r="972" spans="1:2">
      <c r="A972">
        <v>31000528</v>
      </c>
      <c r="B972" t="s">
        <v>1604</v>
      </c>
    </row>
    <row r="973" spans="1:2">
      <c r="A973">
        <v>31000529</v>
      </c>
      <c r="B973" t="s">
        <v>1605</v>
      </c>
    </row>
    <row r="974" spans="1:2">
      <c r="A974">
        <v>31000530</v>
      </c>
      <c r="B974" t="s">
        <v>1606</v>
      </c>
    </row>
    <row r="975" spans="1:2">
      <c r="A975">
        <v>31000531</v>
      </c>
      <c r="B975" t="s">
        <v>1607</v>
      </c>
    </row>
    <row r="976" spans="1:2">
      <c r="A976">
        <v>31000532</v>
      </c>
      <c r="B976" t="s">
        <v>1608</v>
      </c>
    </row>
    <row r="977" spans="1:2">
      <c r="A977">
        <v>32000601</v>
      </c>
      <c r="B977" t="s">
        <v>1609</v>
      </c>
    </row>
    <row r="978" spans="1:2">
      <c r="A978">
        <v>32000602</v>
      </c>
      <c r="B978" t="s">
        <v>1610</v>
      </c>
    </row>
    <row r="979" spans="1:2">
      <c r="A979">
        <v>32000603</v>
      </c>
      <c r="B979" t="s">
        <v>1611</v>
      </c>
    </row>
    <row r="980" spans="1:2">
      <c r="A980">
        <v>32000604</v>
      </c>
      <c r="B980" t="s">
        <v>1612</v>
      </c>
    </row>
    <row r="981" spans="1:2">
      <c r="A981">
        <v>32000605</v>
      </c>
      <c r="B981" t="s">
        <v>1613</v>
      </c>
    </row>
    <row r="982" spans="1:2">
      <c r="A982">
        <v>32000606</v>
      </c>
      <c r="B982" t="s">
        <v>1614</v>
      </c>
    </row>
    <row r="983" spans="1:2">
      <c r="A983">
        <v>32000607</v>
      </c>
      <c r="B983" t="s">
        <v>1615</v>
      </c>
    </row>
    <row r="984" spans="1:2">
      <c r="A984">
        <v>32000608</v>
      </c>
      <c r="B984" t="s">
        <v>1616</v>
      </c>
    </row>
    <row r="985" spans="1:2">
      <c r="A985">
        <v>32000609</v>
      </c>
      <c r="B985" t="s">
        <v>1617</v>
      </c>
    </row>
    <row r="986" spans="1:2">
      <c r="A986">
        <v>32000610</v>
      </c>
      <c r="B986" t="s">
        <v>1618</v>
      </c>
    </row>
    <row r="987" spans="1:2">
      <c r="A987">
        <v>32000611</v>
      </c>
      <c r="B987" t="s">
        <v>1619</v>
      </c>
    </row>
    <row r="988" spans="1:2">
      <c r="A988">
        <v>32000612</v>
      </c>
      <c r="B988" t="s">
        <v>1620</v>
      </c>
    </row>
    <row r="989" spans="1:2">
      <c r="A989">
        <v>32000613</v>
      </c>
      <c r="B989" t="s">
        <v>1621</v>
      </c>
    </row>
    <row r="990" spans="1:2">
      <c r="A990">
        <v>32000614</v>
      </c>
      <c r="B990" t="s">
        <v>1622</v>
      </c>
    </row>
    <row r="991" spans="1:2">
      <c r="A991">
        <v>32000615</v>
      </c>
      <c r="B991" t="s">
        <v>1623</v>
      </c>
    </row>
    <row r="992" spans="1:2">
      <c r="A992">
        <v>32000616</v>
      </c>
      <c r="B992" t="s">
        <v>1624</v>
      </c>
    </row>
    <row r="993" spans="1:2">
      <c r="A993">
        <v>32000617</v>
      </c>
      <c r="B993" t="s">
        <v>1625</v>
      </c>
    </row>
    <row r="994" spans="1:2">
      <c r="A994">
        <v>32500701</v>
      </c>
      <c r="B994" t="s">
        <v>1626</v>
      </c>
    </row>
    <row r="995" spans="1:2">
      <c r="A995">
        <v>32500702</v>
      </c>
      <c r="B995" t="s">
        <v>1627</v>
      </c>
    </row>
    <row r="996" spans="1:2">
      <c r="A996">
        <v>32500703</v>
      </c>
      <c r="B996" t="s">
        <v>1628</v>
      </c>
    </row>
    <row r="997" spans="1:2">
      <c r="A997">
        <v>32500704</v>
      </c>
      <c r="B997" t="s">
        <v>1629</v>
      </c>
    </row>
    <row r="998" spans="1:2">
      <c r="A998">
        <v>32500705</v>
      </c>
      <c r="B998" t="s">
        <v>1630</v>
      </c>
    </row>
    <row r="999" spans="1:2">
      <c r="A999">
        <v>32500706</v>
      </c>
      <c r="B999" t="s">
        <v>1631</v>
      </c>
    </row>
    <row r="1000" spans="1:2">
      <c r="A1000">
        <v>32500707</v>
      </c>
      <c r="B1000" t="s">
        <v>1632</v>
      </c>
    </row>
    <row r="1001" spans="1:2">
      <c r="A1001">
        <v>32500708</v>
      </c>
      <c r="B1001" t="s">
        <v>1633</v>
      </c>
    </row>
    <row r="1002" spans="1:2">
      <c r="A1002">
        <v>32500709</v>
      </c>
      <c r="B1002" t="s">
        <v>1634</v>
      </c>
    </row>
    <row r="1003" spans="1:2">
      <c r="A1003">
        <v>32500710</v>
      </c>
      <c r="B1003" t="s">
        <v>1627</v>
      </c>
    </row>
    <row r="1004" spans="1:2">
      <c r="A1004">
        <v>32500711</v>
      </c>
      <c r="B1004" t="s">
        <v>1635</v>
      </c>
    </row>
    <row r="1005" spans="1:2">
      <c r="A1005">
        <v>32500712</v>
      </c>
      <c r="B1005" t="s">
        <v>1636</v>
      </c>
    </row>
    <row r="1006" spans="1:2">
      <c r="A1006">
        <v>32500713</v>
      </c>
      <c r="B1006" t="s">
        <v>1628</v>
      </c>
    </row>
    <row r="1007" spans="1:2">
      <c r="A1007">
        <v>32500714</v>
      </c>
      <c r="B1007" t="s">
        <v>1629</v>
      </c>
    </row>
    <row r="1008" spans="1:2">
      <c r="A1008">
        <v>32500715</v>
      </c>
      <c r="B1008" t="s">
        <v>1630</v>
      </c>
    </row>
    <row r="1009" spans="1:2">
      <c r="A1009">
        <v>32500716</v>
      </c>
      <c r="B1009" t="s">
        <v>1631</v>
      </c>
    </row>
    <row r="1010" spans="1:2">
      <c r="A1010">
        <v>32500801</v>
      </c>
      <c r="B1010" t="s">
        <v>1637</v>
      </c>
    </row>
    <row r="1011" spans="1:2">
      <c r="A1011">
        <v>32500802</v>
      </c>
      <c r="B1011" t="s">
        <v>1638</v>
      </c>
    </row>
    <row r="1012" spans="1:2">
      <c r="A1012">
        <v>32500803</v>
      </c>
      <c r="B1012" t="s">
        <v>1639</v>
      </c>
    </row>
    <row r="1013" spans="1:2">
      <c r="A1013">
        <v>32500804</v>
      </c>
      <c r="B1013" t="s">
        <v>1640</v>
      </c>
    </row>
    <row r="1014" spans="1:2">
      <c r="A1014">
        <v>32500805</v>
      </c>
      <c r="B1014" t="s">
        <v>1641</v>
      </c>
    </row>
    <row r="1015" spans="1:2">
      <c r="A1015">
        <v>32500806</v>
      </c>
      <c r="B1015" t="s">
        <v>1642</v>
      </c>
    </row>
    <row r="1016" spans="1:2">
      <c r="A1016">
        <v>33000901</v>
      </c>
      <c r="B1016" t="s">
        <v>1643</v>
      </c>
    </row>
    <row r="1017" spans="1:2">
      <c r="A1017">
        <v>33000902</v>
      </c>
      <c r="B1017" t="s">
        <v>1644</v>
      </c>
    </row>
    <row r="1018" spans="1:2">
      <c r="A1018">
        <v>33000903</v>
      </c>
      <c r="B1018" t="s">
        <v>1645</v>
      </c>
    </row>
    <row r="1019" spans="1:2">
      <c r="A1019">
        <v>33000904</v>
      </c>
      <c r="B1019" t="s">
        <v>1646</v>
      </c>
    </row>
    <row r="1020" spans="1:2">
      <c r="A1020">
        <v>33000905</v>
      </c>
      <c r="B1020" t="s">
        <v>1647</v>
      </c>
    </row>
    <row r="1021" spans="1:2">
      <c r="A1021">
        <v>33000906</v>
      </c>
      <c r="B1021" t="s">
        <v>1648</v>
      </c>
    </row>
    <row r="1022" spans="1:2">
      <c r="A1022">
        <v>39901001</v>
      </c>
      <c r="B1022" t="s">
        <v>1649</v>
      </c>
    </row>
    <row r="1023" spans="1:2">
      <c r="A1023" t="s">
        <v>2250</v>
      </c>
      <c r="B1023" t="s">
        <v>2251</v>
      </c>
    </row>
    <row r="1024" spans="1:2">
      <c r="A1024" t="s">
        <v>2252</v>
      </c>
      <c r="B1024" t="s">
        <v>2253</v>
      </c>
    </row>
    <row r="1025" spans="1:2">
      <c r="A1025" t="s">
        <v>2254</v>
      </c>
      <c r="B1025" t="s">
        <v>2255</v>
      </c>
    </row>
    <row r="1026" spans="1:2">
      <c r="A1026" t="s">
        <v>2256</v>
      </c>
      <c r="B1026" t="s">
        <v>2257</v>
      </c>
    </row>
    <row r="1027" spans="1:2">
      <c r="A1027" t="s">
        <v>2258</v>
      </c>
      <c r="B1027" t="s">
        <v>2259</v>
      </c>
    </row>
    <row r="1028" spans="1:2">
      <c r="A1028" t="s">
        <v>2260</v>
      </c>
      <c r="B1028" t="s">
        <v>2261</v>
      </c>
    </row>
    <row r="1029" spans="1:2">
      <c r="A1029" t="s">
        <v>2262</v>
      </c>
      <c r="B1029" t="s">
        <v>2263</v>
      </c>
    </row>
    <row r="1030" spans="1:2">
      <c r="A1030" t="s">
        <v>2264</v>
      </c>
      <c r="B1030" t="s">
        <v>2265</v>
      </c>
    </row>
    <row r="1031" spans="1:2">
      <c r="A1031" t="s">
        <v>2266</v>
      </c>
      <c r="B1031" t="s">
        <v>2267</v>
      </c>
    </row>
    <row r="1032" spans="1:2">
      <c r="A1032" t="s">
        <v>2268</v>
      </c>
      <c r="B1032" t="s">
        <v>2269</v>
      </c>
    </row>
    <row r="1033" spans="1:2">
      <c r="A1033" t="s">
        <v>2270</v>
      </c>
      <c r="B1033" t="s">
        <v>2271</v>
      </c>
    </row>
    <row r="1034" spans="1:2">
      <c r="A1034" t="s">
        <v>2272</v>
      </c>
      <c r="B1034" t="s">
        <v>2273</v>
      </c>
    </row>
    <row r="1035" spans="1:2">
      <c r="A1035" t="s">
        <v>2274</v>
      </c>
      <c r="B1035" t="s">
        <v>2275</v>
      </c>
    </row>
    <row r="1036" spans="1:2">
      <c r="A1036" t="s">
        <v>2276</v>
      </c>
      <c r="B1036" t="s">
        <v>2277</v>
      </c>
    </row>
    <row r="1037" spans="1:2">
      <c r="A1037" t="s">
        <v>2278</v>
      </c>
      <c r="B1037" t="s">
        <v>2279</v>
      </c>
    </row>
    <row r="1038" spans="1:2">
      <c r="A1038" t="s">
        <v>2280</v>
      </c>
      <c r="B1038" t="s">
        <v>2281</v>
      </c>
    </row>
    <row r="1039" spans="1:2">
      <c r="A1039" t="s">
        <v>2282</v>
      </c>
      <c r="B1039" t="s">
        <v>2283</v>
      </c>
    </row>
    <row r="1040" spans="1:2">
      <c r="A1040" t="s">
        <v>2284</v>
      </c>
      <c r="B1040" t="s">
        <v>2285</v>
      </c>
    </row>
    <row r="1041" spans="1:2">
      <c r="A1041">
        <v>40100101</v>
      </c>
      <c r="B1041" t="s">
        <v>1650</v>
      </c>
    </row>
    <row r="1042" spans="1:2">
      <c r="A1042">
        <v>40100201</v>
      </c>
      <c r="B1042" t="s">
        <v>1651</v>
      </c>
    </row>
    <row r="1043" spans="1:2">
      <c r="A1043">
        <v>40199901</v>
      </c>
      <c r="B1043" t="s">
        <v>1652</v>
      </c>
    </row>
    <row r="1044" spans="1:2">
      <c r="A1044">
        <v>40500301</v>
      </c>
      <c r="B1044" t="s">
        <v>1653</v>
      </c>
    </row>
    <row r="1045" spans="1:2">
      <c r="A1045">
        <v>40500302</v>
      </c>
      <c r="B1045" t="s">
        <v>1654</v>
      </c>
    </row>
    <row r="1046" spans="1:2">
      <c r="A1046">
        <v>40500303</v>
      </c>
      <c r="B1046" t="s">
        <v>1655</v>
      </c>
    </row>
    <row r="1047" spans="1:2">
      <c r="A1047">
        <v>40500304</v>
      </c>
      <c r="B1047" t="s">
        <v>1656</v>
      </c>
    </row>
    <row r="1048" spans="1:2">
      <c r="A1048">
        <v>40500305</v>
      </c>
      <c r="B1048" t="s">
        <v>1657</v>
      </c>
    </row>
    <row r="1049" spans="1:2">
      <c r="A1049">
        <v>40500306</v>
      </c>
      <c r="B1049" t="s">
        <v>1658</v>
      </c>
    </row>
    <row r="1050" spans="1:2">
      <c r="A1050">
        <v>40500307</v>
      </c>
      <c r="B1050" t="s">
        <v>1657</v>
      </c>
    </row>
    <row r="1051" spans="1:2">
      <c r="A1051">
        <v>40500308</v>
      </c>
      <c r="B1051" t="s">
        <v>1659</v>
      </c>
    </row>
    <row r="1052" spans="1:2">
      <c r="A1052">
        <v>40500309</v>
      </c>
      <c r="B1052" t="s">
        <v>1660</v>
      </c>
    </row>
    <row r="1053" spans="1:2">
      <c r="A1053">
        <v>40500401</v>
      </c>
      <c r="B1053" t="s">
        <v>1669</v>
      </c>
    </row>
    <row r="1054" spans="1:2">
      <c r="A1054">
        <v>40500402</v>
      </c>
      <c r="B1054" t="s">
        <v>1670</v>
      </c>
    </row>
    <row r="1055" spans="1:2">
      <c r="A1055">
        <v>40500403</v>
      </c>
      <c r="B1055" t="s">
        <v>1671</v>
      </c>
    </row>
    <row r="1056" spans="1:2">
      <c r="A1056">
        <v>40500404</v>
      </c>
      <c r="B1056" t="s">
        <v>1672</v>
      </c>
    </row>
    <row r="1057" spans="1:2">
      <c r="A1057">
        <v>40500405</v>
      </c>
      <c r="B1057" t="s">
        <v>1673</v>
      </c>
    </row>
    <row r="1058" spans="1:2">
      <c r="A1058">
        <v>40500406</v>
      </c>
      <c r="B1058" t="s">
        <v>1674</v>
      </c>
    </row>
    <row r="1059" spans="1:2">
      <c r="A1059">
        <v>40500407</v>
      </c>
      <c r="B1059" t="s">
        <v>1675</v>
      </c>
    </row>
    <row r="1060" spans="1:2">
      <c r="A1060">
        <v>40500408</v>
      </c>
      <c r="B1060" t="s">
        <v>1676</v>
      </c>
    </row>
    <row r="1061" spans="1:2">
      <c r="A1061">
        <v>40500409</v>
      </c>
      <c r="B1061" t="s">
        <v>1677</v>
      </c>
    </row>
    <row r="1062" spans="1:2">
      <c r="A1062">
        <v>40599901</v>
      </c>
      <c r="B1062" t="s">
        <v>1686</v>
      </c>
    </row>
    <row r="1063" spans="1:2">
      <c r="A1063">
        <v>40599902</v>
      </c>
      <c r="B1063" t="s">
        <v>1687</v>
      </c>
    </row>
    <row r="1064" spans="1:2">
      <c r="A1064">
        <v>40599903</v>
      </c>
      <c r="B1064" t="s">
        <v>1688</v>
      </c>
    </row>
    <row r="1065" spans="1:2">
      <c r="A1065">
        <v>40599904</v>
      </c>
      <c r="B1065" t="s">
        <v>1689</v>
      </c>
    </row>
    <row r="1066" spans="1:2">
      <c r="A1066">
        <v>40599905</v>
      </c>
      <c r="B1066" t="s">
        <v>1690</v>
      </c>
    </row>
    <row r="1067" spans="1:2">
      <c r="A1067">
        <v>40599906</v>
      </c>
      <c r="B1067" t="s">
        <v>1691</v>
      </c>
    </row>
    <row r="1068" spans="1:2">
      <c r="A1068">
        <v>40599907</v>
      </c>
      <c r="B1068" t="s">
        <v>1692</v>
      </c>
    </row>
    <row r="1069" spans="1:2">
      <c r="A1069">
        <v>40599908</v>
      </c>
      <c r="B1069" t="s">
        <v>1693</v>
      </c>
    </row>
    <row r="1070" spans="1:2">
      <c r="A1070">
        <v>40599909</v>
      </c>
      <c r="B1070" t="s">
        <v>1694</v>
      </c>
    </row>
    <row r="1071" spans="1:2">
      <c r="A1071">
        <v>40599910</v>
      </c>
      <c r="B1071" t="s">
        <v>1695</v>
      </c>
    </row>
    <row r="1072" spans="1:2">
      <c r="A1072">
        <v>40599911</v>
      </c>
      <c r="B1072" t="s">
        <v>1696</v>
      </c>
    </row>
    <row r="1073" spans="1:2">
      <c r="A1073">
        <v>40599912</v>
      </c>
      <c r="B1073" t="s">
        <v>1697</v>
      </c>
    </row>
    <row r="1074" spans="1:2">
      <c r="A1074">
        <v>40599913</v>
      </c>
      <c r="B1074" t="s">
        <v>1698</v>
      </c>
    </row>
    <row r="1075" spans="1:2">
      <c r="A1075">
        <v>40599914</v>
      </c>
      <c r="B1075" t="s">
        <v>1699</v>
      </c>
    </row>
    <row r="1076" spans="1:2">
      <c r="A1076">
        <v>40599915</v>
      </c>
      <c r="B1076" t="s">
        <v>1700</v>
      </c>
    </row>
    <row r="1077" spans="1:2">
      <c r="A1077">
        <v>40599916</v>
      </c>
      <c r="B1077" t="s">
        <v>1701</v>
      </c>
    </row>
    <row r="1078" spans="1:2">
      <c r="A1078">
        <v>40599917</v>
      </c>
      <c r="B1078" t="s">
        <v>1702</v>
      </c>
    </row>
    <row r="1079" spans="1:2">
      <c r="A1079">
        <v>40599918</v>
      </c>
      <c r="B1079" t="s">
        <v>1703</v>
      </c>
    </row>
    <row r="1080" spans="1:2">
      <c r="A1080">
        <v>40599919</v>
      </c>
      <c r="B1080" t="s">
        <v>1704</v>
      </c>
    </row>
    <row r="1081" spans="1:2">
      <c r="A1081">
        <v>40599920</v>
      </c>
      <c r="B1081" t="s">
        <v>1705</v>
      </c>
    </row>
    <row r="1082" spans="1:2">
      <c r="A1082">
        <v>40599921</v>
      </c>
      <c r="B1082" t="s">
        <v>1706</v>
      </c>
    </row>
    <row r="1083" spans="1:2">
      <c r="A1083">
        <v>40599922</v>
      </c>
      <c r="B1083" t="s">
        <v>1707</v>
      </c>
    </row>
    <row r="1084" spans="1:2">
      <c r="A1084">
        <v>40599923</v>
      </c>
      <c r="B1084" t="s">
        <v>1708</v>
      </c>
    </row>
    <row r="1085" spans="1:2">
      <c r="A1085">
        <v>40599924</v>
      </c>
      <c r="B1085" t="s">
        <v>1709</v>
      </c>
    </row>
    <row r="1086" spans="1:2">
      <c r="A1086">
        <v>40599925</v>
      </c>
      <c r="B1086" t="s">
        <v>1710</v>
      </c>
    </row>
    <row r="1087" spans="1:2">
      <c r="A1087">
        <v>40599926</v>
      </c>
      <c r="B1087" t="s">
        <v>1711</v>
      </c>
    </row>
    <row r="1088" spans="1:2">
      <c r="A1088">
        <v>40599927</v>
      </c>
      <c r="B1088" t="s">
        <v>1712</v>
      </c>
    </row>
    <row r="1089" spans="1:2">
      <c r="A1089">
        <v>40500310</v>
      </c>
      <c r="B1089" t="s">
        <v>1661</v>
      </c>
    </row>
    <row r="1090" spans="1:2">
      <c r="A1090">
        <v>40500311</v>
      </c>
      <c r="B1090" t="s">
        <v>1662</v>
      </c>
    </row>
    <row r="1091" spans="1:2">
      <c r="A1091">
        <v>40500312</v>
      </c>
      <c r="B1091" t="s">
        <v>1663</v>
      </c>
    </row>
    <row r="1092" spans="1:2">
      <c r="A1092">
        <v>40500313</v>
      </c>
      <c r="B1092" t="s">
        <v>1664</v>
      </c>
    </row>
    <row r="1093" spans="1:2">
      <c r="A1093">
        <v>40500314</v>
      </c>
      <c r="B1093" t="s">
        <v>1665</v>
      </c>
    </row>
    <row r="1094" spans="1:2">
      <c r="A1094">
        <v>40500315</v>
      </c>
      <c r="B1094" t="s">
        <v>1666</v>
      </c>
    </row>
    <row r="1095" spans="1:2">
      <c r="A1095">
        <v>40500316</v>
      </c>
      <c r="B1095" t="s">
        <v>1667</v>
      </c>
    </row>
    <row r="1096" spans="1:2">
      <c r="A1096">
        <v>40500317</v>
      </c>
      <c r="B1096" t="s">
        <v>1668</v>
      </c>
    </row>
    <row r="1097" spans="1:2">
      <c r="A1097">
        <v>40500410</v>
      </c>
      <c r="B1097" t="s">
        <v>1678</v>
      </c>
    </row>
    <row r="1098" spans="1:2">
      <c r="A1098">
        <v>40500411</v>
      </c>
      <c r="B1098" t="s">
        <v>1679</v>
      </c>
    </row>
    <row r="1099" spans="1:2">
      <c r="A1099">
        <v>40500412</v>
      </c>
      <c r="B1099" t="s">
        <v>1680</v>
      </c>
    </row>
    <row r="1100" spans="1:2">
      <c r="A1100">
        <v>40500413</v>
      </c>
      <c r="B1100" t="s">
        <v>1681</v>
      </c>
    </row>
    <row r="1101" spans="1:2">
      <c r="A1101">
        <v>40500414</v>
      </c>
      <c r="B1101" t="s">
        <v>1682</v>
      </c>
    </row>
    <row r="1102" spans="1:2">
      <c r="A1102">
        <v>40500415</v>
      </c>
      <c r="B1102" t="s">
        <v>1683</v>
      </c>
    </row>
    <row r="1103" spans="1:2">
      <c r="A1103">
        <v>40500416</v>
      </c>
      <c r="B1103" t="s">
        <v>1684</v>
      </c>
    </row>
    <row r="1104" spans="1:2">
      <c r="A1104">
        <v>40500417</v>
      </c>
      <c r="B1104" t="s">
        <v>1685</v>
      </c>
    </row>
    <row r="1105" spans="1:2">
      <c r="A1105">
        <v>40599928</v>
      </c>
      <c r="B1105" t="s">
        <v>1713</v>
      </c>
    </row>
    <row r="1106" spans="1:2">
      <c r="A1106">
        <v>40599929</v>
      </c>
      <c r="B1106" t="s">
        <v>1714</v>
      </c>
    </row>
    <row r="1107" spans="1:2">
      <c r="A1107">
        <v>40599930</v>
      </c>
      <c r="B1107" t="s">
        <v>1715</v>
      </c>
    </row>
    <row r="1108" spans="1:2">
      <c r="A1108">
        <v>40599931</v>
      </c>
      <c r="B1108" t="s">
        <v>1716</v>
      </c>
    </row>
    <row r="1109" spans="1:2">
      <c r="A1109">
        <v>40599932</v>
      </c>
      <c r="B1109" t="s">
        <v>1717</v>
      </c>
    </row>
    <row r="1110" spans="1:2">
      <c r="A1110">
        <v>40599933</v>
      </c>
      <c r="B1110" t="s">
        <v>1718</v>
      </c>
    </row>
    <row r="1111" spans="1:2">
      <c r="A1111">
        <v>40599934</v>
      </c>
      <c r="B1111" t="s">
        <v>1719</v>
      </c>
    </row>
    <row r="1112" spans="1:2">
      <c r="A1112">
        <v>40599935</v>
      </c>
      <c r="B1112" t="s">
        <v>1720</v>
      </c>
    </row>
    <row r="1113" spans="1:2">
      <c r="A1113">
        <v>41000501</v>
      </c>
      <c r="B1113" t="s">
        <v>1721</v>
      </c>
    </row>
    <row r="1114" spans="1:2">
      <c r="A1114">
        <v>41000502</v>
      </c>
      <c r="B1114" t="s">
        <v>1722</v>
      </c>
    </row>
    <row r="1115" spans="1:2">
      <c r="A1115">
        <v>41000503</v>
      </c>
      <c r="B1115" t="s">
        <v>1723</v>
      </c>
    </row>
    <row r="1116" spans="1:2">
      <c r="A1116">
        <v>41000504</v>
      </c>
      <c r="B1116" t="s">
        <v>1724</v>
      </c>
    </row>
    <row r="1117" spans="1:2">
      <c r="A1117">
        <v>41000505</v>
      </c>
      <c r="B1117" t="s">
        <v>1725</v>
      </c>
    </row>
    <row r="1118" spans="1:2">
      <c r="A1118">
        <v>41000506</v>
      </c>
      <c r="B1118" t="s">
        <v>1726</v>
      </c>
    </row>
    <row r="1119" spans="1:2">
      <c r="A1119">
        <v>41000507</v>
      </c>
      <c r="B1119" t="s">
        <v>1727</v>
      </c>
    </row>
    <row r="1120" spans="1:2">
      <c r="A1120">
        <v>41000508</v>
      </c>
      <c r="B1120" t="s">
        <v>1728</v>
      </c>
    </row>
    <row r="1121" spans="1:2">
      <c r="A1121">
        <v>41000509</v>
      </c>
      <c r="B1121" t="s">
        <v>1729</v>
      </c>
    </row>
    <row r="1122" spans="1:2">
      <c r="A1122">
        <v>41000510</v>
      </c>
      <c r="B1122" t="s">
        <v>1730</v>
      </c>
    </row>
    <row r="1123" spans="1:2">
      <c r="A1123">
        <v>41000511</v>
      </c>
      <c r="B1123" t="s">
        <v>1731</v>
      </c>
    </row>
    <row r="1124" spans="1:2">
      <c r="A1124">
        <v>41000512</v>
      </c>
      <c r="B1124" t="s">
        <v>1732</v>
      </c>
    </row>
    <row r="1125" spans="1:2">
      <c r="A1125">
        <v>41000513</v>
      </c>
      <c r="B1125" t="s">
        <v>1733</v>
      </c>
    </row>
    <row r="1126" spans="1:2">
      <c r="A1126">
        <v>41000514</v>
      </c>
      <c r="B1126" t="s">
        <v>1734</v>
      </c>
    </row>
    <row r="1127" spans="1:2">
      <c r="A1127">
        <v>41000515</v>
      </c>
      <c r="B1127" t="s">
        <v>1735</v>
      </c>
    </row>
    <row r="1128" spans="1:2">
      <c r="A1128">
        <v>41000516</v>
      </c>
      <c r="B1128" t="s">
        <v>1736</v>
      </c>
    </row>
    <row r="1129" spans="1:2">
      <c r="A1129">
        <v>41000517</v>
      </c>
      <c r="B1129" t="s">
        <v>1737</v>
      </c>
    </row>
    <row r="1130" spans="1:2">
      <c r="A1130">
        <v>41000518</v>
      </c>
      <c r="B1130" t="s">
        <v>1738</v>
      </c>
    </row>
    <row r="1131" spans="1:2">
      <c r="A1131">
        <v>41000519</v>
      </c>
      <c r="B1131" t="s">
        <v>1739</v>
      </c>
    </row>
    <row r="1132" spans="1:2">
      <c r="A1132">
        <v>41000520</v>
      </c>
      <c r="B1132" t="s">
        <v>1740</v>
      </c>
    </row>
    <row r="1133" spans="1:2">
      <c r="A1133">
        <v>41000521</v>
      </c>
      <c r="B1133" t="s">
        <v>1741</v>
      </c>
    </row>
    <row r="1134" spans="1:2">
      <c r="A1134">
        <v>41000522</v>
      </c>
      <c r="B1134" t="s">
        <v>1742</v>
      </c>
    </row>
    <row r="1135" spans="1:2">
      <c r="A1135">
        <v>41000523</v>
      </c>
      <c r="B1135" t="s">
        <v>1743</v>
      </c>
    </row>
    <row r="1136" spans="1:2">
      <c r="A1136">
        <v>41000524</v>
      </c>
      <c r="B1136" t="s">
        <v>1744</v>
      </c>
    </row>
    <row r="1137" spans="1:2">
      <c r="A1137">
        <v>41000525</v>
      </c>
      <c r="B1137" t="s">
        <v>1745</v>
      </c>
    </row>
    <row r="1138" spans="1:2">
      <c r="A1138">
        <v>41000526</v>
      </c>
      <c r="B1138" t="s">
        <v>1746</v>
      </c>
    </row>
    <row r="1139" spans="1:2">
      <c r="A1139">
        <v>41000527</v>
      </c>
      <c r="B1139" t="s">
        <v>1747</v>
      </c>
    </row>
    <row r="1140" spans="1:2">
      <c r="A1140">
        <v>41000528</v>
      </c>
      <c r="B1140" t="s">
        <v>1748</v>
      </c>
    </row>
    <row r="1141" spans="1:2">
      <c r="A1141">
        <v>41000529</v>
      </c>
      <c r="B1141" t="s">
        <v>1749</v>
      </c>
    </row>
    <row r="1142" spans="1:2">
      <c r="A1142">
        <v>41000530</v>
      </c>
      <c r="B1142" t="s">
        <v>1750</v>
      </c>
    </row>
    <row r="1143" spans="1:2">
      <c r="A1143">
        <v>41000531</v>
      </c>
      <c r="B1143" t="s">
        <v>1751</v>
      </c>
    </row>
    <row r="1144" spans="1:2">
      <c r="A1144">
        <v>41000532</v>
      </c>
      <c r="B1144" t="s">
        <v>1752</v>
      </c>
    </row>
    <row r="1145" spans="1:2">
      <c r="A1145">
        <v>42000601</v>
      </c>
      <c r="B1145" t="s">
        <v>1753</v>
      </c>
    </row>
    <row r="1146" spans="1:2">
      <c r="A1146">
        <v>42000602</v>
      </c>
      <c r="B1146" t="s">
        <v>1754</v>
      </c>
    </row>
    <row r="1147" spans="1:2">
      <c r="A1147">
        <v>42000603</v>
      </c>
      <c r="B1147" t="s">
        <v>1755</v>
      </c>
    </row>
    <row r="1148" spans="1:2">
      <c r="A1148">
        <v>42000604</v>
      </c>
      <c r="B1148" t="s">
        <v>1756</v>
      </c>
    </row>
    <row r="1149" spans="1:2">
      <c r="A1149">
        <v>42000605</v>
      </c>
      <c r="B1149" t="s">
        <v>1757</v>
      </c>
    </row>
    <row r="1150" spans="1:2">
      <c r="A1150">
        <v>42000606</v>
      </c>
      <c r="B1150" t="s">
        <v>1758</v>
      </c>
    </row>
    <row r="1151" spans="1:2">
      <c r="A1151">
        <v>42000607</v>
      </c>
      <c r="B1151" t="s">
        <v>1759</v>
      </c>
    </row>
    <row r="1152" spans="1:2">
      <c r="A1152">
        <v>42000608</v>
      </c>
      <c r="B1152" t="s">
        <v>1760</v>
      </c>
    </row>
    <row r="1153" spans="1:2">
      <c r="A1153">
        <v>42000609</v>
      </c>
      <c r="B1153" t="s">
        <v>1761</v>
      </c>
    </row>
    <row r="1154" spans="1:2">
      <c r="A1154">
        <v>42000610</v>
      </c>
      <c r="B1154" t="s">
        <v>1762</v>
      </c>
    </row>
    <row r="1155" spans="1:2">
      <c r="A1155">
        <v>42000611</v>
      </c>
      <c r="B1155" t="s">
        <v>1763</v>
      </c>
    </row>
    <row r="1156" spans="1:2">
      <c r="A1156">
        <v>42000612</v>
      </c>
      <c r="B1156" t="s">
        <v>1764</v>
      </c>
    </row>
    <row r="1157" spans="1:2">
      <c r="A1157">
        <v>42000613</v>
      </c>
      <c r="B1157" t="s">
        <v>1765</v>
      </c>
    </row>
    <row r="1158" spans="1:2">
      <c r="A1158">
        <v>42000614</v>
      </c>
      <c r="B1158" t="s">
        <v>1766</v>
      </c>
    </row>
    <row r="1159" spans="1:2">
      <c r="A1159">
        <v>42000615</v>
      </c>
      <c r="B1159" t="s">
        <v>1767</v>
      </c>
    </row>
    <row r="1160" spans="1:2">
      <c r="A1160">
        <v>42000616</v>
      </c>
      <c r="B1160" t="s">
        <v>1768</v>
      </c>
    </row>
    <row r="1161" spans="1:2">
      <c r="A1161">
        <v>42000617</v>
      </c>
      <c r="B1161" t="s">
        <v>1769</v>
      </c>
    </row>
    <row r="1162" spans="1:2">
      <c r="A1162">
        <v>42500701</v>
      </c>
      <c r="B1162" t="s">
        <v>1770</v>
      </c>
    </row>
    <row r="1163" spans="1:2">
      <c r="A1163">
        <v>42500702</v>
      </c>
      <c r="B1163" t="s">
        <v>1771</v>
      </c>
    </row>
    <row r="1164" spans="1:2">
      <c r="A1164">
        <v>42500703</v>
      </c>
      <c r="B1164" t="s">
        <v>1772</v>
      </c>
    </row>
    <row r="1165" spans="1:2">
      <c r="A1165">
        <v>42500704</v>
      </c>
      <c r="B1165" t="s">
        <v>1773</v>
      </c>
    </row>
    <row r="1166" spans="1:2">
      <c r="A1166">
        <v>42500705</v>
      </c>
      <c r="B1166" t="s">
        <v>1774</v>
      </c>
    </row>
    <row r="1167" spans="1:2">
      <c r="A1167">
        <v>42500706</v>
      </c>
      <c r="B1167" t="s">
        <v>1775</v>
      </c>
    </row>
    <row r="1168" spans="1:2">
      <c r="A1168">
        <v>42500707</v>
      </c>
      <c r="B1168" t="s">
        <v>1776</v>
      </c>
    </row>
    <row r="1169" spans="1:2">
      <c r="A1169">
        <v>42500708</v>
      </c>
      <c r="B1169" t="s">
        <v>1777</v>
      </c>
    </row>
    <row r="1170" spans="1:2">
      <c r="A1170">
        <v>42500709</v>
      </c>
      <c r="B1170" t="s">
        <v>1778</v>
      </c>
    </row>
    <row r="1171" spans="1:2">
      <c r="A1171">
        <v>42500710</v>
      </c>
      <c r="B1171" t="s">
        <v>1771</v>
      </c>
    </row>
    <row r="1172" spans="1:2">
      <c r="A1172">
        <v>42500711</v>
      </c>
      <c r="B1172" t="s">
        <v>1779</v>
      </c>
    </row>
    <row r="1173" spans="1:2">
      <c r="A1173">
        <v>42500712</v>
      </c>
      <c r="B1173" t="s">
        <v>1780</v>
      </c>
    </row>
    <row r="1174" spans="1:2">
      <c r="A1174">
        <v>42500713</v>
      </c>
      <c r="B1174" t="s">
        <v>1772</v>
      </c>
    </row>
    <row r="1175" spans="1:2">
      <c r="A1175">
        <v>42500714</v>
      </c>
      <c r="B1175" t="s">
        <v>1773</v>
      </c>
    </row>
    <row r="1176" spans="1:2">
      <c r="A1176">
        <v>42500715</v>
      </c>
      <c r="B1176" t="s">
        <v>1774</v>
      </c>
    </row>
    <row r="1177" spans="1:2">
      <c r="A1177">
        <v>42500716</v>
      </c>
      <c r="B1177" t="s">
        <v>1775</v>
      </c>
    </row>
    <row r="1178" spans="1:2">
      <c r="A1178">
        <v>42500801</v>
      </c>
      <c r="B1178" t="s">
        <v>1781</v>
      </c>
    </row>
    <row r="1179" spans="1:2">
      <c r="A1179">
        <v>42500802</v>
      </c>
      <c r="B1179" t="s">
        <v>1782</v>
      </c>
    </row>
    <row r="1180" spans="1:2">
      <c r="A1180">
        <v>42500803</v>
      </c>
      <c r="B1180" t="s">
        <v>1783</v>
      </c>
    </row>
    <row r="1181" spans="1:2">
      <c r="A1181">
        <v>42500804</v>
      </c>
      <c r="B1181" t="s">
        <v>1784</v>
      </c>
    </row>
    <row r="1182" spans="1:2">
      <c r="A1182">
        <v>42500805</v>
      </c>
      <c r="B1182" t="s">
        <v>1785</v>
      </c>
    </row>
    <row r="1183" spans="1:2">
      <c r="A1183">
        <v>42500806</v>
      </c>
      <c r="B1183" t="s">
        <v>1786</v>
      </c>
    </row>
    <row r="1184" spans="1:2">
      <c r="A1184">
        <v>43000901</v>
      </c>
      <c r="B1184" t="s">
        <v>1787</v>
      </c>
    </row>
    <row r="1185" spans="1:2">
      <c r="A1185">
        <v>43000902</v>
      </c>
      <c r="B1185" t="s">
        <v>1788</v>
      </c>
    </row>
    <row r="1186" spans="1:2">
      <c r="A1186">
        <v>43000903</v>
      </c>
      <c r="B1186" t="s">
        <v>1789</v>
      </c>
    </row>
    <row r="1187" spans="1:2">
      <c r="A1187">
        <v>43000904</v>
      </c>
      <c r="B1187" t="s">
        <v>1790</v>
      </c>
    </row>
    <row r="1188" spans="1:2">
      <c r="A1188">
        <v>43000905</v>
      </c>
      <c r="B1188" t="s">
        <v>1791</v>
      </c>
    </row>
    <row r="1189" spans="1:2">
      <c r="A1189">
        <v>43000906</v>
      </c>
      <c r="B1189" t="s">
        <v>1792</v>
      </c>
    </row>
    <row r="1190" spans="1:2">
      <c r="A1190">
        <v>49901001</v>
      </c>
      <c r="B1190" t="s">
        <v>1793</v>
      </c>
    </row>
    <row r="1191" spans="1:2">
      <c r="A1191" t="s">
        <v>2286</v>
      </c>
      <c r="B1191" t="s">
        <v>2287</v>
      </c>
    </row>
    <row r="1192" spans="1:2">
      <c r="A1192" t="s">
        <v>2288</v>
      </c>
      <c r="B1192" t="s">
        <v>2289</v>
      </c>
    </row>
    <row r="1193" spans="1:2">
      <c r="A1193" t="s">
        <v>2290</v>
      </c>
      <c r="B1193" t="s">
        <v>2291</v>
      </c>
    </row>
    <row r="1194" spans="1:2">
      <c r="A1194" t="s">
        <v>2292</v>
      </c>
      <c r="B1194" t="s">
        <v>2293</v>
      </c>
    </row>
    <row r="1195" spans="1:2">
      <c r="A1195" t="s">
        <v>2294</v>
      </c>
      <c r="B1195" t="s">
        <v>2295</v>
      </c>
    </row>
    <row r="1196" spans="1:2">
      <c r="A1196" t="s">
        <v>2296</v>
      </c>
      <c r="B1196" t="s">
        <v>2297</v>
      </c>
    </row>
    <row r="1197" spans="1:2">
      <c r="A1197" t="s">
        <v>2298</v>
      </c>
      <c r="B1197" t="s">
        <v>2299</v>
      </c>
    </row>
    <row r="1198" spans="1:2">
      <c r="A1198" t="s">
        <v>2300</v>
      </c>
      <c r="B1198" t="s">
        <v>2301</v>
      </c>
    </row>
    <row r="1199" spans="1:2">
      <c r="A1199" t="s">
        <v>2302</v>
      </c>
      <c r="B1199" t="s">
        <v>2303</v>
      </c>
    </row>
    <row r="1200" spans="1:2">
      <c r="A1200" t="s">
        <v>2304</v>
      </c>
      <c r="B1200" t="s">
        <v>2305</v>
      </c>
    </row>
    <row r="1201" spans="1:2">
      <c r="A1201" t="s">
        <v>2306</v>
      </c>
      <c r="B1201" t="s">
        <v>2307</v>
      </c>
    </row>
    <row r="1202" spans="1:2">
      <c r="A1202" t="s">
        <v>2308</v>
      </c>
      <c r="B1202" t="s">
        <v>2309</v>
      </c>
    </row>
    <row r="1203" spans="1:2">
      <c r="A1203" t="s">
        <v>2310</v>
      </c>
      <c r="B1203" t="s">
        <v>2311</v>
      </c>
    </row>
    <row r="1204" spans="1:2">
      <c r="A1204" t="s">
        <v>2312</v>
      </c>
      <c r="B1204" t="s">
        <v>2313</v>
      </c>
    </row>
    <row r="1205" spans="1:2">
      <c r="A1205" t="s">
        <v>2314</v>
      </c>
      <c r="B1205" t="s">
        <v>2315</v>
      </c>
    </row>
    <row r="1206" spans="1:2">
      <c r="A1206" t="s">
        <v>2316</v>
      </c>
      <c r="B1206" t="s">
        <v>2317</v>
      </c>
    </row>
    <row r="1207" spans="1:2">
      <c r="A1207" t="s">
        <v>2318</v>
      </c>
      <c r="B1207" t="s">
        <v>2319</v>
      </c>
    </row>
    <row r="1208" spans="1:2">
      <c r="A1208" t="s">
        <v>2320</v>
      </c>
      <c r="B1208" t="s">
        <v>2321</v>
      </c>
    </row>
    <row r="1209" spans="1:2">
      <c r="A1209">
        <v>50100101</v>
      </c>
      <c r="B1209" t="s">
        <v>1794</v>
      </c>
    </row>
    <row r="1210" spans="1:2">
      <c r="A1210">
        <v>50100201</v>
      </c>
      <c r="B1210" t="s">
        <v>1795</v>
      </c>
    </row>
    <row r="1211" spans="1:2">
      <c r="A1211">
        <v>50199901</v>
      </c>
      <c r="B1211" t="s">
        <v>1796</v>
      </c>
    </row>
    <row r="1212" spans="1:2">
      <c r="A1212">
        <v>50500301</v>
      </c>
      <c r="B1212" t="s">
        <v>1797</v>
      </c>
    </row>
    <row r="1213" spans="1:2">
      <c r="A1213">
        <v>50500302</v>
      </c>
      <c r="B1213" t="s">
        <v>1798</v>
      </c>
    </row>
    <row r="1214" spans="1:2">
      <c r="A1214">
        <v>50500303</v>
      </c>
      <c r="B1214" t="s">
        <v>1799</v>
      </c>
    </row>
    <row r="1215" spans="1:2">
      <c r="A1215">
        <v>50500304</v>
      </c>
      <c r="B1215" t="s">
        <v>1800</v>
      </c>
    </row>
    <row r="1216" spans="1:2">
      <c r="A1216">
        <v>50500305</v>
      </c>
      <c r="B1216" t="s">
        <v>1801</v>
      </c>
    </row>
    <row r="1217" spans="1:2">
      <c r="A1217">
        <v>50500306</v>
      </c>
      <c r="B1217" t="s">
        <v>1802</v>
      </c>
    </row>
    <row r="1218" spans="1:2">
      <c r="A1218">
        <v>50500307</v>
      </c>
      <c r="B1218" t="s">
        <v>1801</v>
      </c>
    </row>
    <row r="1219" spans="1:2">
      <c r="A1219">
        <v>50500308</v>
      </c>
      <c r="B1219" t="s">
        <v>1803</v>
      </c>
    </row>
    <row r="1220" spans="1:2">
      <c r="A1220">
        <v>50500309</v>
      </c>
      <c r="B1220" t="s">
        <v>1804</v>
      </c>
    </row>
    <row r="1221" spans="1:2">
      <c r="A1221">
        <v>50500401</v>
      </c>
      <c r="B1221" t="s">
        <v>1813</v>
      </c>
    </row>
    <row r="1222" spans="1:2">
      <c r="A1222">
        <v>50500402</v>
      </c>
      <c r="B1222" t="s">
        <v>1814</v>
      </c>
    </row>
    <row r="1223" spans="1:2">
      <c r="A1223">
        <v>50500403</v>
      </c>
      <c r="B1223" t="s">
        <v>1815</v>
      </c>
    </row>
    <row r="1224" spans="1:2">
      <c r="A1224">
        <v>50500404</v>
      </c>
      <c r="B1224" t="s">
        <v>1816</v>
      </c>
    </row>
    <row r="1225" spans="1:2">
      <c r="A1225">
        <v>50500405</v>
      </c>
      <c r="B1225" t="s">
        <v>1817</v>
      </c>
    </row>
    <row r="1226" spans="1:2">
      <c r="A1226">
        <v>50500406</v>
      </c>
      <c r="B1226" t="s">
        <v>1818</v>
      </c>
    </row>
    <row r="1227" spans="1:2">
      <c r="A1227">
        <v>50500407</v>
      </c>
      <c r="B1227" t="s">
        <v>1819</v>
      </c>
    </row>
    <row r="1228" spans="1:2">
      <c r="A1228">
        <v>50500408</v>
      </c>
      <c r="B1228" t="s">
        <v>1820</v>
      </c>
    </row>
    <row r="1229" spans="1:2">
      <c r="A1229">
        <v>50500409</v>
      </c>
      <c r="B1229" t="s">
        <v>1821</v>
      </c>
    </row>
    <row r="1230" spans="1:2">
      <c r="A1230">
        <v>50599901</v>
      </c>
      <c r="B1230" t="s">
        <v>1830</v>
      </c>
    </row>
    <row r="1231" spans="1:2">
      <c r="A1231">
        <v>50599902</v>
      </c>
      <c r="B1231" t="s">
        <v>1831</v>
      </c>
    </row>
    <row r="1232" spans="1:2">
      <c r="A1232">
        <v>50599903</v>
      </c>
      <c r="B1232" t="s">
        <v>1832</v>
      </c>
    </row>
    <row r="1233" spans="1:2">
      <c r="A1233">
        <v>50599904</v>
      </c>
      <c r="B1233" t="s">
        <v>1833</v>
      </c>
    </row>
    <row r="1234" spans="1:2">
      <c r="A1234">
        <v>50599905</v>
      </c>
      <c r="B1234" t="s">
        <v>1834</v>
      </c>
    </row>
    <row r="1235" spans="1:2">
      <c r="A1235">
        <v>50599906</v>
      </c>
      <c r="B1235" t="s">
        <v>1835</v>
      </c>
    </row>
    <row r="1236" spans="1:2">
      <c r="A1236">
        <v>50599907</v>
      </c>
      <c r="B1236" t="s">
        <v>1836</v>
      </c>
    </row>
    <row r="1237" spans="1:2">
      <c r="A1237">
        <v>50599908</v>
      </c>
      <c r="B1237" t="s">
        <v>1837</v>
      </c>
    </row>
    <row r="1238" spans="1:2">
      <c r="A1238">
        <v>50599909</v>
      </c>
      <c r="B1238" t="s">
        <v>1838</v>
      </c>
    </row>
    <row r="1239" spans="1:2">
      <c r="A1239">
        <v>50599910</v>
      </c>
      <c r="B1239" t="s">
        <v>1839</v>
      </c>
    </row>
    <row r="1240" spans="1:2">
      <c r="A1240">
        <v>50599911</v>
      </c>
      <c r="B1240" t="s">
        <v>1840</v>
      </c>
    </row>
    <row r="1241" spans="1:2">
      <c r="A1241">
        <v>50599912</v>
      </c>
      <c r="B1241" t="s">
        <v>1841</v>
      </c>
    </row>
    <row r="1242" spans="1:2">
      <c r="A1242">
        <v>50599913</v>
      </c>
      <c r="B1242" t="s">
        <v>1842</v>
      </c>
    </row>
    <row r="1243" spans="1:2">
      <c r="A1243">
        <v>50599914</v>
      </c>
      <c r="B1243" t="s">
        <v>1843</v>
      </c>
    </row>
    <row r="1244" spans="1:2">
      <c r="A1244">
        <v>50599915</v>
      </c>
      <c r="B1244" t="s">
        <v>1844</v>
      </c>
    </row>
    <row r="1245" spans="1:2">
      <c r="A1245">
        <v>50599916</v>
      </c>
      <c r="B1245" t="s">
        <v>1845</v>
      </c>
    </row>
    <row r="1246" spans="1:2">
      <c r="A1246">
        <v>50599917</v>
      </c>
      <c r="B1246" t="s">
        <v>1846</v>
      </c>
    </row>
    <row r="1247" spans="1:2">
      <c r="A1247">
        <v>50599918</v>
      </c>
      <c r="B1247" t="s">
        <v>1847</v>
      </c>
    </row>
    <row r="1248" spans="1:2">
      <c r="A1248">
        <v>50599919</v>
      </c>
      <c r="B1248" t="s">
        <v>1848</v>
      </c>
    </row>
    <row r="1249" spans="1:2">
      <c r="A1249">
        <v>50599920</v>
      </c>
      <c r="B1249" t="s">
        <v>1849</v>
      </c>
    </row>
    <row r="1250" spans="1:2">
      <c r="A1250">
        <v>50599921</v>
      </c>
      <c r="B1250" t="s">
        <v>1850</v>
      </c>
    </row>
    <row r="1251" spans="1:2">
      <c r="A1251">
        <v>50599922</v>
      </c>
      <c r="B1251" t="s">
        <v>1851</v>
      </c>
    </row>
    <row r="1252" spans="1:2">
      <c r="A1252">
        <v>50599923</v>
      </c>
      <c r="B1252" t="s">
        <v>1852</v>
      </c>
    </row>
    <row r="1253" spans="1:2">
      <c r="A1253">
        <v>50599924</v>
      </c>
      <c r="B1253" t="s">
        <v>1853</v>
      </c>
    </row>
    <row r="1254" spans="1:2">
      <c r="A1254">
        <v>50599925</v>
      </c>
      <c r="B1254" t="s">
        <v>1854</v>
      </c>
    </row>
    <row r="1255" spans="1:2">
      <c r="A1255">
        <v>50599926</v>
      </c>
      <c r="B1255" t="s">
        <v>1855</v>
      </c>
    </row>
    <row r="1256" spans="1:2">
      <c r="A1256">
        <v>50599927</v>
      </c>
      <c r="B1256" t="s">
        <v>1856</v>
      </c>
    </row>
    <row r="1257" spans="1:2">
      <c r="A1257">
        <v>50500310</v>
      </c>
      <c r="B1257" t="s">
        <v>1805</v>
      </c>
    </row>
    <row r="1258" spans="1:2">
      <c r="A1258">
        <v>50500311</v>
      </c>
      <c r="B1258" t="s">
        <v>1806</v>
      </c>
    </row>
    <row r="1259" spans="1:2">
      <c r="A1259">
        <v>50500312</v>
      </c>
      <c r="B1259" t="s">
        <v>1807</v>
      </c>
    </row>
    <row r="1260" spans="1:2">
      <c r="A1260">
        <v>50500313</v>
      </c>
      <c r="B1260" t="s">
        <v>1808</v>
      </c>
    </row>
    <row r="1261" spans="1:2">
      <c r="A1261">
        <v>50500314</v>
      </c>
      <c r="B1261" t="s">
        <v>1809</v>
      </c>
    </row>
    <row r="1262" spans="1:2">
      <c r="A1262">
        <v>50500315</v>
      </c>
      <c r="B1262" t="s">
        <v>1810</v>
      </c>
    </row>
    <row r="1263" spans="1:2">
      <c r="A1263">
        <v>50500316</v>
      </c>
      <c r="B1263" t="s">
        <v>1811</v>
      </c>
    </row>
    <row r="1264" spans="1:2">
      <c r="A1264">
        <v>50500317</v>
      </c>
      <c r="B1264" t="s">
        <v>1812</v>
      </c>
    </row>
    <row r="1265" spans="1:2">
      <c r="A1265">
        <v>50500410</v>
      </c>
      <c r="B1265" t="s">
        <v>1822</v>
      </c>
    </row>
    <row r="1266" spans="1:2">
      <c r="A1266">
        <v>50500411</v>
      </c>
      <c r="B1266" t="s">
        <v>1823</v>
      </c>
    </row>
    <row r="1267" spans="1:2">
      <c r="A1267">
        <v>50500412</v>
      </c>
      <c r="B1267" t="s">
        <v>1824</v>
      </c>
    </row>
    <row r="1268" spans="1:2">
      <c r="A1268">
        <v>50500413</v>
      </c>
      <c r="B1268" t="s">
        <v>1825</v>
      </c>
    </row>
    <row r="1269" spans="1:2">
      <c r="A1269">
        <v>50500414</v>
      </c>
      <c r="B1269" t="s">
        <v>1826</v>
      </c>
    </row>
    <row r="1270" spans="1:2">
      <c r="A1270">
        <v>50500415</v>
      </c>
      <c r="B1270" t="s">
        <v>1827</v>
      </c>
    </row>
    <row r="1271" spans="1:2">
      <c r="A1271">
        <v>50500416</v>
      </c>
      <c r="B1271" t="s">
        <v>1828</v>
      </c>
    </row>
    <row r="1272" spans="1:2">
      <c r="A1272">
        <v>50500417</v>
      </c>
      <c r="B1272" t="s">
        <v>1829</v>
      </c>
    </row>
    <row r="1273" spans="1:2">
      <c r="A1273">
        <v>50599928</v>
      </c>
      <c r="B1273" t="s">
        <v>1857</v>
      </c>
    </row>
    <row r="1274" spans="1:2">
      <c r="A1274">
        <v>50599929</v>
      </c>
      <c r="B1274" t="s">
        <v>1858</v>
      </c>
    </row>
    <row r="1275" spans="1:2">
      <c r="A1275">
        <v>50599930</v>
      </c>
      <c r="B1275" t="s">
        <v>1859</v>
      </c>
    </row>
    <row r="1276" spans="1:2">
      <c r="A1276">
        <v>50599931</v>
      </c>
      <c r="B1276" t="s">
        <v>1860</v>
      </c>
    </row>
    <row r="1277" spans="1:2">
      <c r="A1277">
        <v>50599932</v>
      </c>
      <c r="B1277" t="s">
        <v>1861</v>
      </c>
    </row>
    <row r="1278" spans="1:2">
      <c r="A1278">
        <v>50599933</v>
      </c>
      <c r="B1278" t="s">
        <v>1862</v>
      </c>
    </row>
    <row r="1279" spans="1:2">
      <c r="A1279">
        <v>50599934</v>
      </c>
      <c r="B1279" t="s">
        <v>1863</v>
      </c>
    </row>
    <row r="1280" spans="1:2">
      <c r="A1280">
        <v>50599935</v>
      </c>
      <c r="B1280" t="s">
        <v>1864</v>
      </c>
    </row>
    <row r="1281" spans="1:2">
      <c r="A1281">
        <v>51000501</v>
      </c>
      <c r="B1281" t="s">
        <v>1865</v>
      </c>
    </row>
    <row r="1282" spans="1:2">
      <c r="A1282">
        <v>51000502</v>
      </c>
      <c r="B1282" t="s">
        <v>1866</v>
      </c>
    </row>
    <row r="1283" spans="1:2">
      <c r="A1283">
        <v>51000503</v>
      </c>
      <c r="B1283" t="s">
        <v>1867</v>
      </c>
    </row>
    <row r="1284" spans="1:2">
      <c r="A1284">
        <v>51000504</v>
      </c>
      <c r="B1284" t="s">
        <v>1868</v>
      </c>
    </row>
    <row r="1285" spans="1:2">
      <c r="A1285">
        <v>51000505</v>
      </c>
      <c r="B1285" t="s">
        <v>1869</v>
      </c>
    </row>
    <row r="1286" spans="1:2">
      <c r="A1286">
        <v>51000506</v>
      </c>
      <c r="B1286" t="s">
        <v>1870</v>
      </c>
    </row>
    <row r="1287" spans="1:2">
      <c r="A1287">
        <v>51000507</v>
      </c>
      <c r="B1287" t="s">
        <v>1871</v>
      </c>
    </row>
    <row r="1288" spans="1:2">
      <c r="A1288">
        <v>51000508</v>
      </c>
      <c r="B1288" t="s">
        <v>1872</v>
      </c>
    </row>
    <row r="1289" spans="1:2">
      <c r="A1289">
        <v>51000509</v>
      </c>
      <c r="B1289" t="s">
        <v>1873</v>
      </c>
    </row>
    <row r="1290" spans="1:2">
      <c r="A1290">
        <v>51000510</v>
      </c>
      <c r="B1290" t="s">
        <v>1874</v>
      </c>
    </row>
    <row r="1291" spans="1:2">
      <c r="A1291">
        <v>51000511</v>
      </c>
      <c r="B1291" t="s">
        <v>1875</v>
      </c>
    </row>
    <row r="1292" spans="1:2">
      <c r="A1292">
        <v>51000512</v>
      </c>
      <c r="B1292" t="s">
        <v>1876</v>
      </c>
    </row>
    <row r="1293" spans="1:2">
      <c r="A1293">
        <v>51000513</v>
      </c>
      <c r="B1293" t="s">
        <v>1877</v>
      </c>
    </row>
    <row r="1294" spans="1:2">
      <c r="A1294">
        <v>51000514</v>
      </c>
      <c r="B1294" t="s">
        <v>1878</v>
      </c>
    </row>
    <row r="1295" spans="1:2">
      <c r="A1295">
        <v>51000515</v>
      </c>
      <c r="B1295" t="s">
        <v>1879</v>
      </c>
    </row>
    <row r="1296" spans="1:2">
      <c r="A1296">
        <v>51000516</v>
      </c>
      <c r="B1296" t="s">
        <v>1880</v>
      </c>
    </row>
    <row r="1297" spans="1:2">
      <c r="A1297">
        <v>51000517</v>
      </c>
      <c r="B1297" t="s">
        <v>1881</v>
      </c>
    </row>
    <row r="1298" spans="1:2">
      <c r="A1298">
        <v>51000518</v>
      </c>
      <c r="B1298" t="s">
        <v>1882</v>
      </c>
    </row>
    <row r="1299" spans="1:2">
      <c r="A1299">
        <v>51000519</v>
      </c>
      <c r="B1299" t="s">
        <v>1883</v>
      </c>
    </row>
    <row r="1300" spans="1:2">
      <c r="A1300">
        <v>51000520</v>
      </c>
      <c r="B1300" t="s">
        <v>1884</v>
      </c>
    </row>
    <row r="1301" spans="1:2">
      <c r="A1301">
        <v>51000521</v>
      </c>
      <c r="B1301" t="s">
        <v>1885</v>
      </c>
    </row>
    <row r="1302" spans="1:2">
      <c r="A1302">
        <v>51000522</v>
      </c>
      <c r="B1302" t="s">
        <v>1886</v>
      </c>
    </row>
    <row r="1303" spans="1:2">
      <c r="A1303">
        <v>51000523</v>
      </c>
      <c r="B1303" t="s">
        <v>1887</v>
      </c>
    </row>
    <row r="1304" spans="1:2">
      <c r="A1304">
        <v>51000524</v>
      </c>
      <c r="B1304" t="s">
        <v>1888</v>
      </c>
    </row>
    <row r="1305" spans="1:2">
      <c r="A1305">
        <v>51000525</v>
      </c>
      <c r="B1305" t="s">
        <v>1889</v>
      </c>
    </row>
    <row r="1306" spans="1:2">
      <c r="A1306">
        <v>51000526</v>
      </c>
      <c r="B1306" t="s">
        <v>1890</v>
      </c>
    </row>
    <row r="1307" spans="1:2">
      <c r="A1307">
        <v>51000527</v>
      </c>
      <c r="B1307" t="s">
        <v>1891</v>
      </c>
    </row>
    <row r="1308" spans="1:2">
      <c r="A1308">
        <v>51000528</v>
      </c>
      <c r="B1308" t="s">
        <v>1892</v>
      </c>
    </row>
    <row r="1309" spans="1:2">
      <c r="A1309">
        <v>51000529</v>
      </c>
      <c r="B1309" t="s">
        <v>1893</v>
      </c>
    </row>
    <row r="1310" spans="1:2">
      <c r="A1310">
        <v>51000530</v>
      </c>
      <c r="B1310" t="s">
        <v>1894</v>
      </c>
    </row>
    <row r="1311" spans="1:2">
      <c r="A1311">
        <v>51000531</v>
      </c>
      <c r="B1311" t="s">
        <v>1895</v>
      </c>
    </row>
    <row r="1312" spans="1:2">
      <c r="A1312">
        <v>51000532</v>
      </c>
      <c r="B1312" t="s">
        <v>1896</v>
      </c>
    </row>
    <row r="1313" spans="1:2">
      <c r="A1313">
        <v>52000601</v>
      </c>
      <c r="B1313" t="s">
        <v>1897</v>
      </c>
    </row>
    <row r="1314" spans="1:2">
      <c r="A1314">
        <v>52000602</v>
      </c>
      <c r="B1314" t="s">
        <v>1898</v>
      </c>
    </row>
    <row r="1315" spans="1:2">
      <c r="A1315">
        <v>52000603</v>
      </c>
      <c r="B1315" t="s">
        <v>1899</v>
      </c>
    </row>
    <row r="1316" spans="1:2">
      <c r="A1316">
        <v>52000604</v>
      </c>
      <c r="B1316" t="s">
        <v>1900</v>
      </c>
    </row>
    <row r="1317" spans="1:2">
      <c r="A1317">
        <v>52000605</v>
      </c>
      <c r="B1317" t="s">
        <v>1901</v>
      </c>
    </row>
    <row r="1318" spans="1:2">
      <c r="A1318">
        <v>52000606</v>
      </c>
      <c r="B1318" t="s">
        <v>1902</v>
      </c>
    </row>
    <row r="1319" spans="1:2">
      <c r="A1319">
        <v>52000607</v>
      </c>
      <c r="B1319" t="s">
        <v>1903</v>
      </c>
    </row>
    <row r="1320" spans="1:2">
      <c r="A1320">
        <v>52000608</v>
      </c>
      <c r="B1320" t="s">
        <v>1904</v>
      </c>
    </row>
    <row r="1321" spans="1:2">
      <c r="A1321">
        <v>52000609</v>
      </c>
      <c r="B1321" t="s">
        <v>1905</v>
      </c>
    </row>
    <row r="1322" spans="1:2">
      <c r="A1322">
        <v>52000610</v>
      </c>
      <c r="B1322" t="s">
        <v>1906</v>
      </c>
    </row>
    <row r="1323" spans="1:2">
      <c r="A1323">
        <v>52000611</v>
      </c>
      <c r="B1323" t="s">
        <v>1907</v>
      </c>
    </row>
    <row r="1324" spans="1:2">
      <c r="A1324">
        <v>52000612</v>
      </c>
      <c r="B1324" t="s">
        <v>1908</v>
      </c>
    </row>
    <row r="1325" spans="1:2">
      <c r="A1325">
        <v>52000613</v>
      </c>
      <c r="B1325" t="s">
        <v>1909</v>
      </c>
    </row>
    <row r="1326" spans="1:2">
      <c r="A1326">
        <v>52000614</v>
      </c>
      <c r="B1326" t="s">
        <v>1910</v>
      </c>
    </row>
    <row r="1327" spans="1:2">
      <c r="A1327">
        <v>52000615</v>
      </c>
      <c r="B1327" t="s">
        <v>1911</v>
      </c>
    </row>
    <row r="1328" spans="1:2">
      <c r="A1328">
        <v>52000616</v>
      </c>
      <c r="B1328" t="s">
        <v>1912</v>
      </c>
    </row>
    <row r="1329" spans="1:2">
      <c r="A1329">
        <v>52000617</v>
      </c>
      <c r="B1329" t="s">
        <v>1913</v>
      </c>
    </row>
    <row r="1330" spans="1:2">
      <c r="A1330">
        <v>52500701</v>
      </c>
      <c r="B1330" t="s">
        <v>1914</v>
      </c>
    </row>
    <row r="1331" spans="1:2">
      <c r="A1331">
        <v>52500702</v>
      </c>
      <c r="B1331" t="s">
        <v>1915</v>
      </c>
    </row>
    <row r="1332" spans="1:2">
      <c r="A1332">
        <v>52500703</v>
      </c>
      <c r="B1332" t="s">
        <v>1916</v>
      </c>
    </row>
    <row r="1333" spans="1:2">
      <c r="A1333">
        <v>52500704</v>
      </c>
      <c r="B1333" t="s">
        <v>1917</v>
      </c>
    </row>
    <row r="1334" spans="1:2">
      <c r="A1334">
        <v>52500705</v>
      </c>
      <c r="B1334" t="s">
        <v>1918</v>
      </c>
    </row>
    <row r="1335" spans="1:2">
      <c r="A1335">
        <v>52500706</v>
      </c>
      <c r="B1335" t="s">
        <v>1919</v>
      </c>
    </row>
    <row r="1336" spans="1:2">
      <c r="A1336">
        <v>52500707</v>
      </c>
      <c r="B1336" t="s">
        <v>1920</v>
      </c>
    </row>
    <row r="1337" spans="1:2">
      <c r="A1337">
        <v>52500708</v>
      </c>
      <c r="B1337" t="s">
        <v>1921</v>
      </c>
    </row>
    <row r="1338" spans="1:2">
      <c r="A1338">
        <v>52500709</v>
      </c>
      <c r="B1338" t="s">
        <v>1922</v>
      </c>
    </row>
    <row r="1339" spans="1:2">
      <c r="A1339">
        <v>52500710</v>
      </c>
      <c r="B1339" t="s">
        <v>1915</v>
      </c>
    </row>
    <row r="1340" spans="1:2">
      <c r="A1340">
        <v>52500711</v>
      </c>
      <c r="B1340" t="s">
        <v>1923</v>
      </c>
    </row>
    <row r="1341" spans="1:2">
      <c r="A1341">
        <v>52500712</v>
      </c>
      <c r="B1341" t="s">
        <v>1924</v>
      </c>
    </row>
    <row r="1342" spans="1:2">
      <c r="A1342">
        <v>52500713</v>
      </c>
      <c r="B1342" t="s">
        <v>1916</v>
      </c>
    </row>
    <row r="1343" spans="1:2">
      <c r="A1343">
        <v>52500714</v>
      </c>
      <c r="B1343" t="s">
        <v>1917</v>
      </c>
    </row>
    <row r="1344" spans="1:2">
      <c r="A1344">
        <v>52500715</v>
      </c>
      <c r="B1344" t="s">
        <v>1918</v>
      </c>
    </row>
    <row r="1345" spans="1:2">
      <c r="A1345">
        <v>52500716</v>
      </c>
      <c r="B1345" t="s">
        <v>1919</v>
      </c>
    </row>
    <row r="1346" spans="1:2">
      <c r="A1346">
        <v>52500801</v>
      </c>
      <c r="B1346" t="s">
        <v>1925</v>
      </c>
    </row>
    <row r="1347" spans="1:2">
      <c r="A1347">
        <v>52500802</v>
      </c>
      <c r="B1347" t="s">
        <v>1926</v>
      </c>
    </row>
    <row r="1348" spans="1:2">
      <c r="A1348">
        <v>52500803</v>
      </c>
      <c r="B1348" t="s">
        <v>1927</v>
      </c>
    </row>
    <row r="1349" spans="1:2">
      <c r="A1349">
        <v>52500804</v>
      </c>
      <c r="B1349" t="s">
        <v>1928</v>
      </c>
    </row>
    <row r="1350" spans="1:2">
      <c r="A1350">
        <v>52500805</v>
      </c>
      <c r="B1350" t="s">
        <v>1929</v>
      </c>
    </row>
    <row r="1351" spans="1:2">
      <c r="A1351">
        <v>52500806</v>
      </c>
      <c r="B1351" t="s">
        <v>1930</v>
      </c>
    </row>
    <row r="1352" spans="1:2">
      <c r="A1352">
        <v>53000901</v>
      </c>
      <c r="B1352" t="s">
        <v>1931</v>
      </c>
    </row>
    <row r="1353" spans="1:2">
      <c r="A1353">
        <v>53000902</v>
      </c>
      <c r="B1353" t="s">
        <v>1932</v>
      </c>
    </row>
    <row r="1354" spans="1:2">
      <c r="A1354">
        <v>53000903</v>
      </c>
      <c r="B1354" t="s">
        <v>1933</v>
      </c>
    </row>
    <row r="1355" spans="1:2">
      <c r="A1355">
        <v>53000904</v>
      </c>
      <c r="B1355" t="s">
        <v>1934</v>
      </c>
    </row>
    <row r="1356" spans="1:2">
      <c r="A1356">
        <v>53000905</v>
      </c>
      <c r="B1356" t="s">
        <v>1935</v>
      </c>
    </row>
    <row r="1357" spans="1:2">
      <c r="A1357">
        <v>53000906</v>
      </c>
      <c r="B1357" t="s">
        <v>1936</v>
      </c>
    </row>
    <row r="1358" spans="1:2">
      <c r="A1358">
        <v>59901001</v>
      </c>
      <c r="B1358" t="s">
        <v>1937</v>
      </c>
    </row>
    <row r="1359" spans="1:2">
      <c r="A1359" t="s">
        <v>2322</v>
      </c>
      <c r="B1359" t="s">
        <v>2323</v>
      </c>
    </row>
    <row r="1360" spans="1:2">
      <c r="A1360" t="s">
        <v>2324</v>
      </c>
      <c r="B1360" t="s">
        <v>2325</v>
      </c>
    </row>
    <row r="1361" spans="1:2">
      <c r="A1361" t="s">
        <v>2326</v>
      </c>
      <c r="B1361" t="s">
        <v>2327</v>
      </c>
    </row>
    <row r="1362" spans="1:2">
      <c r="A1362" t="s">
        <v>2328</v>
      </c>
      <c r="B1362" t="s">
        <v>2329</v>
      </c>
    </row>
    <row r="1363" spans="1:2">
      <c r="A1363" t="s">
        <v>2330</v>
      </c>
      <c r="B1363" t="s">
        <v>2331</v>
      </c>
    </row>
    <row r="1364" spans="1:2">
      <c r="A1364" t="s">
        <v>2332</v>
      </c>
      <c r="B1364" t="s">
        <v>2333</v>
      </c>
    </row>
    <row r="1365" spans="1:2">
      <c r="A1365" t="s">
        <v>2334</v>
      </c>
      <c r="B1365" t="s">
        <v>2335</v>
      </c>
    </row>
    <row r="1366" spans="1:2">
      <c r="A1366" t="s">
        <v>2336</v>
      </c>
      <c r="B1366" t="s">
        <v>2337</v>
      </c>
    </row>
    <row r="1367" spans="1:2">
      <c r="A1367" t="s">
        <v>2338</v>
      </c>
      <c r="B1367" t="s">
        <v>2339</v>
      </c>
    </row>
    <row r="1368" spans="1:2">
      <c r="A1368" t="s">
        <v>2340</v>
      </c>
      <c r="B1368" t="s">
        <v>2341</v>
      </c>
    </row>
    <row r="1369" spans="1:2">
      <c r="A1369" t="s">
        <v>2342</v>
      </c>
      <c r="B1369" t="s">
        <v>2343</v>
      </c>
    </row>
    <row r="1370" spans="1:2">
      <c r="A1370" t="s">
        <v>2344</v>
      </c>
      <c r="B1370" t="s">
        <v>2345</v>
      </c>
    </row>
    <row r="1371" spans="1:2">
      <c r="A1371" t="s">
        <v>2346</v>
      </c>
      <c r="B1371" t="s">
        <v>2347</v>
      </c>
    </row>
    <row r="1372" spans="1:2">
      <c r="A1372" t="s">
        <v>2348</v>
      </c>
      <c r="B1372" t="s">
        <v>2349</v>
      </c>
    </row>
    <row r="1373" spans="1:2">
      <c r="A1373" t="s">
        <v>2350</v>
      </c>
      <c r="B1373" t="s">
        <v>2351</v>
      </c>
    </row>
    <row r="1374" spans="1:2">
      <c r="A1374" t="s">
        <v>2352</v>
      </c>
      <c r="B1374" t="s">
        <v>2353</v>
      </c>
    </row>
    <row r="1375" spans="1:2">
      <c r="A1375" t="s">
        <v>2354</v>
      </c>
      <c r="B1375" t="s">
        <v>2355</v>
      </c>
    </row>
    <row r="1376" spans="1:2">
      <c r="A1376" t="s">
        <v>2356</v>
      </c>
      <c r="B1376" t="s">
        <v>2357</v>
      </c>
    </row>
    <row r="1377" spans="1:2">
      <c r="A1377">
        <v>60000001</v>
      </c>
      <c r="B1377" t="s">
        <v>1938</v>
      </c>
    </row>
    <row r="1378" spans="1:2">
      <c r="A1378">
        <v>70100101</v>
      </c>
      <c r="B1378" t="s">
        <v>1939</v>
      </c>
    </row>
    <row r="1379" spans="1:2">
      <c r="A1379">
        <v>70100201</v>
      </c>
      <c r="B1379" t="s">
        <v>1940</v>
      </c>
    </row>
    <row r="1380" spans="1:2">
      <c r="A1380">
        <v>70100301</v>
      </c>
      <c r="B1380" t="s">
        <v>1941</v>
      </c>
    </row>
    <row r="1381" spans="1:2">
      <c r="A1381">
        <v>70500101</v>
      </c>
      <c r="B1381" t="s">
        <v>1942</v>
      </c>
    </row>
    <row r="1382" spans="1:2">
      <c r="A1382">
        <v>70500201</v>
      </c>
      <c r="B1382" t="s">
        <v>1943</v>
      </c>
    </row>
    <row r="1383" spans="1:2">
      <c r="A1383">
        <v>70500301</v>
      </c>
      <c r="B1383" t="s">
        <v>2450</v>
      </c>
    </row>
    <row r="1384" spans="1:2">
      <c r="A1384">
        <v>71000101</v>
      </c>
      <c r="B1384" t="s">
        <v>1944</v>
      </c>
    </row>
    <row r="1385" spans="1:2">
      <c r="A1385">
        <v>71000201</v>
      </c>
      <c r="B1385" t="s">
        <v>1945</v>
      </c>
    </row>
    <row r="1386" spans="1:2">
      <c r="A1386">
        <v>71000301</v>
      </c>
      <c r="B1386" t="s">
        <v>1946</v>
      </c>
    </row>
    <row r="1387" spans="1:2">
      <c r="A1387">
        <v>71500101</v>
      </c>
      <c r="B1387" t="s">
        <v>1947</v>
      </c>
    </row>
    <row r="1388" spans="1:2">
      <c r="A1388">
        <v>71500201</v>
      </c>
      <c r="B1388" t="s">
        <v>1948</v>
      </c>
    </row>
    <row r="1389" spans="1:2">
      <c r="A1389">
        <v>71500301</v>
      </c>
      <c r="B1389" t="s">
        <v>1949</v>
      </c>
    </row>
    <row r="1390" spans="1:2">
      <c r="A1390">
        <v>72000101</v>
      </c>
      <c r="B1390" t="s">
        <v>1950</v>
      </c>
    </row>
    <row r="1391" spans="1:2">
      <c r="A1391">
        <v>72000201</v>
      </c>
      <c r="B1391" t="s">
        <v>1951</v>
      </c>
    </row>
    <row r="1392" spans="1:2">
      <c r="A1392">
        <v>72000301</v>
      </c>
      <c r="B1392" t="s">
        <v>1952</v>
      </c>
    </row>
    <row r="1393" spans="1:2">
      <c r="A1393">
        <v>72500101</v>
      </c>
      <c r="B1393" t="s">
        <v>2451</v>
      </c>
    </row>
    <row r="1394" spans="1:2">
      <c r="A1394">
        <v>72500201</v>
      </c>
      <c r="B1394" t="s">
        <v>2452</v>
      </c>
    </row>
    <row r="1395" spans="1:2">
      <c r="A1395">
        <v>72500301</v>
      </c>
      <c r="B1395" t="s">
        <v>1953</v>
      </c>
    </row>
    <row r="1396" spans="1:2">
      <c r="A1396">
        <v>90100401</v>
      </c>
      <c r="B1396" t="s">
        <v>1954</v>
      </c>
    </row>
    <row r="1397" spans="1:2">
      <c r="A1397">
        <v>90100501</v>
      </c>
      <c r="B1397" t="s">
        <v>1955</v>
      </c>
    </row>
    <row r="1398" spans="1:2">
      <c r="A1398">
        <v>90100601</v>
      </c>
      <c r="B1398" t="s">
        <v>1956</v>
      </c>
    </row>
    <row r="1399" spans="1:2">
      <c r="A1399">
        <v>90199901</v>
      </c>
      <c r="B1399" t="s">
        <v>1957</v>
      </c>
    </row>
    <row r="1400" spans="1:2">
      <c r="A1400">
        <v>90501001</v>
      </c>
      <c r="B1400" t="s">
        <v>1958</v>
      </c>
    </row>
    <row r="1401" spans="1:2">
      <c r="A1401">
        <v>90501002</v>
      </c>
      <c r="B1401" t="s">
        <v>1959</v>
      </c>
    </row>
    <row r="1402" spans="1:2">
      <c r="A1402">
        <v>90501003</v>
      </c>
      <c r="B1402" t="s">
        <v>1960</v>
      </c>
    </row>
    <row r="1403" spans="1:2">
      <c r="A1403">
        <v>90501004</v>
      </c>
      <c r="B1403" t="s">
        <v>1961</v>
      </c>
    </row>
    <row r="1404" spans="1:2">
      <c r="A1404">
        <v>90501005</v>
      </c>
      <c r="B1404" t="s">
        <v>1962</v>
      </c>
    </row>
    <row r="1405" spans="1:2">
      <c r="A1405">
        <v>90501006</v>
      </c>
      <c r="B1405" t="s">
        <v>1963</v>
      </c>
    </row>
    <row r="1406" spans="1:2">
      <c r="A1406">
        <v>90501007</v>
      </c>
      <c r="B1406" t="s">
        <v>1964</v>
      </c>
    </row>
    <row r="1407" spans="1:2">
      <c r="A1407">
        <v>90501008</v>
      </c>
      <c r="B1407" t="s">
        <v>1965</v>
      </c>
    </row>
    <row r="1408" spans="1:2">
      <c r="A1408">
        <v>90501009</v>
      </c>
      <c r="B1408" t="s">
        <v>1966</v>
      </c>
    </row>
    <row r="1409" spans="1:2">
      <c r="A1409">
        <v>90501101</v>
      </c>
      <c r="B1409" t="s">
        <v>1983</v>
      </c>
    </row>
    <row r="1410" spans="1:2">
      <c r="A1410">
        <v>90501102</v>
      </c>
      <c r="B1410" t="s">
        <v>1984</v>
      </c>
    </row>
    <row r="1411" spans="1:2">
      <c r="A1411">
        <v>90501103</v>
      </c>
      <c r="B1411" t="s">
        <v>1985</v>
      </c>
    </row>
    <row r="1412" spans="1:2">
      <c r="A1412">
        <v>90501104</v>
      </c>
      <c r="B1412" t="s">
        <v>1986</v>
      </c>
    </row>
    <row r="1413" spans="1:2">
      <c r="A1413">
        <v>90501105</v>
      </c>
      <c r="B1413" t="s">
        <v>1987</v>
      </c>
    </row>
    <row r="1414" spans="1:2">
      <c r="A1414">
        <v>90501106</v>
      </c>
      <c r="B1414" t="s">
        <v>1988</v>
      </c>
    </row>
    <row r="1415" spans="1:2">
      <c r="A1415">
        <v>90501107</v>
      </c>
      <c r="B1415" t="s">
        <v>1989</v>
      </c>
    </row>
    <row r="1416" spans="1:2">
      <c r="A1416">
        <v>90501108</v>
      </c>
      <c r="B1416" t="s">
        <v>1990</v>
      </c>
    </row>
    <row r="1417" spans="1:2">
      <c r="A1417">
        <v>90501109</v>
      </c>
      <c r="B1417" t="s">
        <v>1991</v>
      </c>
    </row>
    <row r="1418" spans="1:2">
      <c r="A1418">
        <v>90501201</v>
      </c>
      <c r="B1418" t="s">
        <v>1993</v>
      </c>
    </row>
    <row r="1419" spans="1:2">
      <c r="A1419">
        <v>90501202</v>
      </c>
      <c r="B1419" t="s">
        <v>1994</v>
      </c>
    </row>
    <row r="1420" spans="1:2">
      <c r="A1420">
        <v>90501203</v>
      </c>
      <c r="B1420" t="s">
        <v>1995</v>
      </c>
    </row>
    <row r="1421" spans="1:2">
      <c r="A1421">
        <v>90501204</v>
      </c>
      <c r="B1421" t="s">
        <v>1996</v>
      </c>
    </row>
    <row r="1422" spans="1:2">
      <c r="A1422">
        <v>90501205</v>
      </c>
      <c r="B1422" t="s">
        <v>1997</v>
      </c>
    </row>
    <row r="1423" spans="1:2">
      <c r="A1423">
        <v>90501206</v>
      </c>
      <c r="B1423" t="s">
        <v>1998</v>
      </c>
    </row>
    <row r="1424" spans="1:2">
      <c r="A1424">
        <v>90501207</v>
      </c>
      <c r="B1424" t="s">
        <v>1999</v>
      </c>
    </row>
    <row r="1425" spans="1:2">
      <c r="A1425">
        <v>90501208</v>
      </c>
      <c r="B1425" t="s">
        <v>2000</v>
      </c>
    </row>
    <row r="1426" spans="1:2">
      <c r="A1426">
        <v>90501209</v>
      </c>
      <c r="B1426" t="s">
        <v>2001</v>
      </c>
    </row>
    <row r="1427" spans="1:2">
      <c r="A1427">
        <v>90501301</v>
      </c>
      <c r="B1427" t="s">
        <v>2002</v>
      </c>
    </row>
    <row r="1428" spans="1:2">
      <c r="A1428">
        <v>90501302</v>
      </c>
      <c r="B1428" t="s">
        <v>2003</v>
      </c>
    </row>
    <row r="1429" spans="1:2">
      <c r="A1429">
        <v>90501303</v>
      </c>
      <c r="B1429" t="s">
        <v>2004</v>
      </c>
    </row>
    <row r="1430" spans="1:2">
      <c r="A1430">
        <v>90501304</v>
      </c>
      <c r="B1430" t="s">
        <v>2005</v>
      </c>
    </row>
    <row r="1431" spans="1:2">
      <c r="A1431">
        <v>90501305</v>
      </c>
      <c r="B1431" t="s">
        <v>2006</v>
      </c>
    </row>
    <row r="1432" spans="1:2">
      <c r="A1432">
        <v>90501306</v>
      </c>
      <c r="B1432" t="s">
        <v>2007</v>
      </c>
    </row>
    <row r="1433" spans="1:2">
      <c r="A1433">
        <v>90501307</v>
      </c>
      <c r="B1433" t="s">
        <v>2008</v>
      </c>
    </row>
    <row r="1434" spans="1:2">
      <c r="A1434">
        <v>90501308</v>
      </c>
      <c r="B1434" t="s">
        <v>2009</v>
      </c>
    </row>
    <row r="1435" spans="1:2">
      <c r="A1435">
        <v>90501309</v>
      </c>
      <c r="B1435" t="s">
        <v>2010</v>
      </c>
    </row>
    <row r="1436" spans="1:2">
      <c r="A1436">
        <v>90599901</v>
      </c>
      <c r="B1436" t="s">
        <v>2012</v>
      </c>
    </row>
    <row r="1437" spans="1:2">
      <c r="A1437">
        <v>90599902</v>
      </c>
      <c r="B1437" t="s">
        <v>2013</v>
      </c>
    </row>
    <row r="1438" spans="1:2">
      <c r="A1438">
        <v>90599903</v>
      </c>
      <c r="B1438" t="s">
        <v>2014</v>
      </c>
    </row>
    <row r="1439" spans="1:2">
      <c r="A1439">
        <v>90599904</v>
      </c>
      <c r="B1439" t="s">
        <v>2015</v>
      </c>
    </row>
    <row r="1440" spans="1:2">
      <c r="A1440">
        <v>90599905</v>
      </c>
      <c r="B1440" t="s">
        <v>2016</v>
      </c>
    </row>
    <row r="1441" spans="1:2">
      <c r="A1441">
        <v>90599906</v>
      </c>
      <c r="B1441" t="s">
        <v>2017</v>
      </c>
    </row>
    <row r="1442" spans="1:2">
      <c r="A1442">
        <v>90599907</v>
      </c>
      <c r="B1442" t="s">
        <v>2018</v>
      </c>
    </row>
    <row r="1443" spans="1:2">
      <c r="A1443">
        <v>90599908</v>
      </c>
      <c r="B1443" t="s">
        <v>2019</v>
      </c>
    </row>
    <row r="1444" spans="1:2">
      <c r="A1444">
        <v>90599909</v>
      </c>
      <c r="B1444" t="s">
        <v>2020</v>
      </c>
    </row>
    <row r="1445" spans="1:2">
      <c r="A1445">
        <v>90599910</v>
      </c>
      <c r="B1445" t="s">
        <v>2021</v>
      </c>
    </row>
    <row r="1446" spans="1:2">
      <c r="A1446">
        <v>90599911</v>
      </c>
      <c r="B1446" t="s">
        <v>2022</v>
      </c>
    </row>
    <row r="1447" spans="1:2">
      <c r="A1447">
        <v>90599912</v>
      </c>
      <c r="B1447" t="s">
        <v>2023</v>
      </c>
    </row>
    <row r="1448" spans="1:2">
      <c r="A1448">
        <v>90599913</v>
      </c>
      <c r="B1448" t="s">
        <v>2024</v>
      </c>
    </row>
    <row r="1449" spans="1:2">
      <c r="A1449">
        <v>90599914</v>
      </c>
      <c r="B1449" t="s">
        <v>2025</v>
      </c>
    </row>
    <row r="1450" spans="1:2">
      <c r="A1450">
        <v>90599915</v>
      </c>
      <c r="B1450" t="s">
        <v>2026</v>
      </c>
    </row>
    <row r="1451" spans="1:2">
      <c r="A1451">
        <v>90599916</v>
      </c>
      <c r="B1451" t="s">
        <v>2027</v>
      </c>
    </row>
    <row r="1452" spans="1:2">
      <c r="A1452">
        <v>90599917</v>
      </c>
      <c r="B1452" t="s">
        <v>2028</v>
      </c>
    </row>
    <row r="1453" spans="1:2">
      <c r="A1453">
        <v>90599918</v>
      </c>
      <c r="B1453" t="s">
        <v>2029</v>
      </c>
    </row>
    <row r="1454" spans="1:2">
      <c r="A1454">
        <v>90599919</v>
      </c>
      <c r="B1454" t="s">
        <v>2030</v>
      </c>
    </row>
    <row r="1455" spans="1:2">
      <c r="A1455">
        <v>90599920</v>
      </c>
      <c r="B1455" t="s">
        <v>2031</v>
      </c>
    </row>
    <row r="1456" spans="1:2">
      <c r="A1456">
        <v>90599921</v>
      </c>
      <c r="B1456" t="s">
        <v>2032</v>
      </c>
    </row>
    <row r="1457" spans="1:2">
      <c r="A1457">
        <v>90599922</v>
      </c>
      <c r="B1457" t="s">
        <v>2033</v>
      </c>
    </row>
    <row r="1458" spans="1:2">
      <c r="A1458">
        <v>90599923</v>
      </c>
      <c r="B1458" t="s">
        <v>2034</v>
      </c>
    </row>
    <row r="1459" spans="1:2">
      <c r="A1459">
        <v>90599924</v>
      </c>
      <c r="B1459" t="s">
        <v>2035</v>
      </c>
    </row>
    <row r="1460" spans="1:2">
      <c r="A1460">
        <v>90599925</v>
      </c>
      <c r="B1460" t="s">
        <v>2036</v>
      </c>
    </row>
    <row r="1461" spans="1:2">
      <c r="A1461">
        <v>90599926</v>
      </c>
      <c r="B1461" t="s">
        <v>2037</v>
      </c>
    </row>
    <row r="1462" spans="1:2">
      <c r="A1462">
        <v>90599927</v>
      </c>
      <c r="B1462" t="s">
        <v>2038</v>
      </c>
    </row>
    <row r="1463" spans="1:2">
      <c r="A1463">
        <v>90501010</v>
      </c>
      <c r="B1463" t="s">
        <v>1967</v>
      </c>
    </row>
    <row r="1464" spans="1:2">
      <c r="A1464">
        <v>90501011</v>
      </c>
      <c r="B1464" t="s">
        <v>1968</v>
      </c>
    </row>
    <row r="1465" spans="1:2">
      <c r="A1465">
        <v>90501012</v>
      </c>
      <c r="B1465" t="s">
        <v>1969</v>
      </c>
    </row>
    <row r="1466" spans="1:2">
      <c r="A1466">
        <v>90501013</v>
      </c>
      <c r="B1466" t="s">
        <v>1970</v>
      </c>
    </row>
    <row r="1467" spans="1:2">
      <c r="A1467">
        <v>90501014</v>
      </c>
      <c r="B1467" t="s">
        <v>1971</v>
      </c>
    </row>
    <row r="1468" spans="1:2">
      <c r="A1468">
        <v>90501015</v>
      </c>
      <c r="B1468" t="s">
        <v>1972</v>
      </c>
    </row>
    <row r="1469" spans="1:2">
      <c r="A1469">
        <v>90501016</v>
      </c>
      <c r="B1469" t="s">
        <v>1973</v>
      </c>
    </row>
    <row r="1470" spans="1:2">
      <c r="A1470">
        <v>90501017</v>
      </c>
      <c r="B1470" t="s">
        <v>1974</v>
      </c>
    </row>
    <row r="1471" spans="1:2">
      <c r="A1471">
        <v>90501018</v>
      </c>
      <c r="B1471" t="s">
        <v>1975</v>
      </c>
    </row>
    <row r="1472" spans="1:2">
      <c r="A1472">
        <v>90501019</v>
      </c>
      <c r="B1472" t="s">
        <v>1976</v>
      </c>
    </row>
    <row r="1473" spans="1:2">
      <c r="A1473">
        <v>90501020</v>
      </c>
      <c r="B1473" t="s">
        <v>1977</v>
      </c>
    </row>
    <row r="1474" spans="1:2">
      <c r="A1474">
        <v>90501021</v>
      </c>
      <c r="B1474" t="s">
        <v>1978</v>
      </c>
    </row>
    <row r="1475" spans="1:2">
      <c r="A1475">
        <v>90501022</v>
      </c>
      <c r="B1475" t="s">
        <v>1979</v>
      </c>
    </row>
    <row r="1476" spans="1:2">
      <c r="A1476">
        <v>90501023</v>
      </c>
      <c r="B1476" t="s">
        <v>1980</v>
      </c>
    </row>
    <row r="1477" spans="1:2">
      <c r="A1477">
        <v>90501024</v>
      </c>
      <c r="B1477" t="s">
        <v>1981</v>
      </c>
    </row>
    <row r="1478" spans="1:2">
      <c r="A1478">
        <v>90501025</v>
      </c>
      <c r="B1478" t="s">
        <v>1982</v>
      </c>
    </row>
    <row r="1479" spans="1:2">
      <c r="A1479">
        <v>90501110</v>
      </c>
      <c r="B1479" t="s">
        <v>1967</v>
      </c>
    </row>
    <row r="1480" spans="1:2">
      <c r="A1480">
        <v>90501111</v>
      </c>
      <c r="B1480" t="s">
        <v>1968</v>
      </c>
    </row>
    <row r="1481" spans="1:2">
      <c r="A1481">
        <v>90501112</v>
      </c>
      <c r="B1481" t="s">
        <v>1969</v>
      </c>
    </row>
    <row r="1482" spans="1:2">
      <c r="A1482">
        <v>90501113</v>
      </c>
      <c r="B1482" t="s">
        <v>1992</v>
      </c>
    </row>
    <row r="1483" spans="1:2">
      <c r="A1483">
        <v>90501114</v>
      </c>
      <c r="B1483" t="s">
        <v>1971</v>
      </c>
    </row>
    <row r="1484" spans="1:2">
      <c r="A1484">
        <v>90501115</v>
      </c>
      <c r="B1484" t="s">
        <v>1972</v>
      </c>
    </row>
    <row r="1485" spans="1:2">
      <c r="A1485">
        <v>90501116</v>
      </c>
      <c r="B1485" t="s">
        <v>1973</v>
      </c>
    </row>
    <row r="1486" spans="1:2">
      <c r="A1486">
        <v>90501117</v>
      </c>
      <c r="B1486" t="s">
        <v>1974</v>
      </c>
    </row>
    <row r="1487" spans="1:2">
      <c r="A1487">
        <v>90501118</v>
      </c>
      <c r="B1487" t="s">
        <v>1975</v>
      </c>
    </row>
    <row r="1488" spans="1:2">
      <c r="A1488">
        <v>90501119</v>
      </c>
      <c r="B1488" t="s">
        <v>1976</v>
      </c>
    </row>
    <row r="1489" spans="1:2">
      <c r="A1489">
        <v>90501120</v>
      </c>
      <c r="B1489" t="s">
        <v>1977</v>
      </c>
    </row>
    <row r="1490" spans="1:2">
      <c r="A1490">
        <v>90501121</v>
      </c>
      <c r="B1490" t="s">
        <v>1978</v>
      </c>
    </row>
    <row r="1491" spans="1:2">
      <c r="A1491">
        <v>90501122</v>
      </c>
      <c r="B1491" t="s">
        <v>1979</v>
      </c>
    </row>
    <row r="1492" spans="1:2">
      <c r="A1492">
        <v>90501123</v>
      </c>
      <c r="B1492" t="s">
        <v>1980</v>
      </c>
    </row>
    <row r="1493" spans="1:2">
      <c r="A1493">
        <v>90501124</v>
      </c>
      <c r="B1493" t="s">
        <v>1981</v>
      </c>
    </row>
    <row r="1494" spans="1:2">
      <c r="A1494">
        <v>90501125</v>
      </c>
      <c r="B1494" t="s">
        <v>1982</v>
      </c>
    </row>
    <row r="1495" spans="1:2">
      <c r="A1495">
        <v>90501210</v>
      </c>
      <c r="B1495" t="s">
        <v>1967</v>
      </c>
    </row>
    <row r="1496" spans="1:2">
      <c r="A1496">
        <v>90501211</v>
      </c>
      <c r="B1496" t="s">
        <v>1968</v>
      </c>
    </row>
    <row r="1497" spans="1:2">
      <c r="A1497">
        <v>90501212</v>
      </c>
      <c r="B1497" t="s">
        <v>1969</v>
      </c>
    </row>
    <row r="1498" spans="1:2">
      <c r="A1498">
        <v>90501213</v>
      </c>
      <c r="B1498" t="s">
        <v>1992</v>
      </c>
    </row>
    <row r="1499" spans="1:2">
      <c r="A1499">
        <v>90501214</v>
      </c>
      <c r="B1499" t="s">
        <v>1971</v>
      </c>
    </row>
    <row r="1500" spans="1:2">
      <c r="A1500">
        <v>90501215</v>
      </c>
      <c r="B1500" t="s">
        <v>1972</v>
      </c>
    </row>
    <row r="1501" spans="1:2">
      <c r="A1501">
        <v>90501216</v>
      </c>
      <c r="B1501" t="s">
        <v>1973</v>
      </c>
    </row>
    <row r="1502" spans="1:2">
      <c r="A1502">
        <v>90501217</v>
      </c>
      <c r="B1502" t="s">
        <v>1974</v>
      </c>
    </row>
    <row r="1503" spans="1:2">
      <c r="A1503">
        <v>90501218</v>
      </c>
      <c r="B1503" t="s">
        <v>1975</v>
      </c>
    </row>
    <row r="1504" spans="1:2">
      <c r="A1504">
        <v>90501219</v>
      </c>
      <c r="B1504" t="s">
        <v>1976</v>
      </c>
    </row>
    <row r="1505" spans="1:2">
      <c r="A1505">
        <v>90501220</v>
      </c>
      <c r="B1505" t="s">
        <v>1977</v>
      </c>
    </row>
    <row r="1506" spans="1:2">
      <c r="A1506">
        <v>90501221</v>
      </c>
      <c r="B1506" t="s">
        <v>1978</v>
      </c>
    </row>
    <row r="1507" spans="1:2">
      <c r="A1507">
        <v>90501222</v>
      </c>
      <c r="B1507" t="s">
        <v>1979</v>
      </c>
    </row>
    <row r="1508" spans="1:2">
      <c r="A1508">
        <v>90501223</v>
      </c>
      <c r="B1508" t="s">
        <v>1980</v>
      </c>
    </row>
    <row r="1509" spans="1:2">
      <c r="A1509">
        <v>90501224</v>
      </c>
      <c r="B1509" t="s">
        <v>1981</v>
      </c>
    </row>
    <row r="1510" spans="1:2">
      <c r="A1510">
        <v>90501225</v>
      </c>
      <c r="B1510" t="s">
        <v>1982</v>
      </c>
    </row>
    <row r="1511" spans="1:2">
      <c r="A1511">
        <v>90501310</v>
      </c>
      <c r="B1511" t="s">
        <v>1967</v>
      </c>
    </row>
    <row r="1512" spans="1:2">
      <c r="A1512">
        <v>90501311</v>
      </c>
      <c r="B1512" t="s">
        <v>1968</v>
      </c>
    </row>
    <row r="1513" spans="1:2">
      <c r="A1513">
        <v>90501312</v>
      </c>
      <c r="B1513" t="s">
        <v>1969</v>
      </c>
    </row>
    <row r="1514" spans="1:2">
      <c r="A1514">
        <v>90501313</v>
      </c>
      <c r="B1514" t="s">
        <v>2011</v>
      </c>
    </row>
    <row r="1515" spans="1:2">
      <c r="A1515">
        <v>90501314</v>
      </c>
      <c r="B1515" t="s">
        <v>1971</v>
      </c>
    </row>
    <row r="1516" spans="1:2">
      <c r="A1516">
        <v>90501315</v>
      </c>
      <c r="B1516" t="s">
        <v>1972</v>
      </c>
    </row>
    <row r="1517" spans="1:2">
      <c r="A1517">
        <v>90501316</v>
      </c>
      <c r="B1517" t="s">
        <v>1973</v>
      </c>
    </row>
    <row r="1518" spans="1:2">
      <c r="A1518">
        <v>90501317</v>
      </c>
      <c r="B1518" t="s">
        <v>1974</v>
      </c>
    </row>
    <row r="1519" spans="1:2">
      <c r="A1519">
        <v>90501318</v>
      </c>
      <c r="B1519" t="s">
        <v>1975</v>
      </c>
    </row>
    <row r="1520" spans="1:2">
      <c r="A1520">
        <v>90501319</v>
      </c>
      <c r="B1520" t="s">
        <v>1976</v>
      </c>
    </row>
    <row r="1521" spans="1:2">
      <c r="A1521">
        <v>90501320</v>
      </c>
      <c r="B1521" t="s">
        <v>1977</v>
      </c>
    </row>
    <row r="1522" spans="1:2">
      <c r="A1522">
        <v>90501321</v>
      </c>
      <c r="B1522" t="s">
        <v>1978</v>
      </c>
    </row>
    <row r="1523" spans="1:2">
      <c r="A1523">
        <v>90501322</v>
      </c>
      <c r="B1523" t="s">
        <v>1979</v>
      </c>
    </row>
    <row r="1524" spans="1:2">
      <c r="A1524">
        <v>90501323</v>
      </c>
      <c r="B1524" t="s">
        <v>1980</v>
      </c>
    </row>
    <row r="1525" spans="1:2">
      <c r="A1525">
        <v>90501324</v>
      </c>
      <c r="B1525" t="s">
        <v>1981</v>
      </c>
    </row>
    <row r="1526" spans="1:2">
      <c r="A1526">
        <v>90501325</v>
      </c>
      <c r="B1526" t="s">
        <v>1982</v>
      </c>
    </row>
    <row r="1527" spans="1:2">
      <c r="A1527">
        <v>90599928</v>
      </c>
      <c r="B1527" t="s">
        <v>2453</v>
      </c>
    </row>
    <row r="1528" spans="1:2">
      <c r="A1528">
        <v>90599929</v>
      </c>
      <c r="B1528" t="s">
        <v>2039</v>
      </c>
    </row>
    <row r="1529" spans="1:2">
      <c r="A1529">
        <v>90599930</v>
      </c>
      <c r="B1529" t="s">
        <v>2040</v>
      </c>
    </row>
    <row r="1530" spans="1:2">
      <c r="A1530">
        <v>90599931</v>
      </c>
      <c r="B1530" t="s">
        <v>2041</v>
      </c>
    </row>
    <row r="1531" spans="1:2">
      <c r="A1531">
        <v>90599932</v>
      </c>
      <c r="B1531" t="s">
        <v>2042</v>
      </c>
    </row>
    <row r="1532" spans="1:2">
      <c r="A1532">
        <v>90599933</v>
      </c>
      <c r="B1532" t="s">
        <v>2043</v>
      </c>
    </row>
    <row r="1533" spans="1:2">
      <c r="A1533">
        <v>90599934</v>
      </c>
      <c r="B1533" t="s">
        <v>2044</v>
      </c>
    </row>
    <row r="1534" spans="1:2">
      <c r="A1534">
        <v>90599935</v>
      </c>
      <c r="B1534" t="s">
        <v>2045</v>
      </c>
    </row>
    <row r="1535" spans="1:2">
      <c r="A1535">
        <v>90599936</v>
      </c>
      <c r="B1535" t="s">
        <v>2046</v>
      </c>
    </row>
    <row r="1536" spans="1:2">
      <c r="A1536">
        <v>90599937</v>
      </c>
      <c r="B1536" t="s">
        <v>2047</v>
      </c>
    </row>
    <row r="1537" spans="1:2">
      <c r="A1537">
        <v>90599938</v>
      </c>
      <c r="B1537" t="s">
        <v>2048</v>
      </c>
    </row>
    <row r="1538" spans="1:2">
      <c r="A1538">
        <v>90599939</v>
      </c>
      <c r="B1538" t="s">
        <v>2049</v>
      </c>
    </row>
    <row r="1539" spans="1:2">
      <c r="A1539">
        <v>90599940</v>
      </c>
      <c r="B1539" t="s">
        <v>2050</v>
      </c>
    </row>
    <row r="1540" spans="1:2">
      <c r="A1540">
        <v>90599941</v>
      </c>
      <c r="B1540" t="s">
        <v>2051</v>
      </c>
    </row>
    <row r="1541" spans="1:2">
      <c r="A1541">
        <v>90599942</v>
      </c>
      <c r="B1541" t="s">
        <v>2052</v>
      </c>
    </row>
    <row r="1542" spans="1:2">
      <c r="A1542">
        <v>90599943</v>
      </c>
      <c r="B1542" t="s">
        <v>2053</v>
      </c>
    </row>
    <row r="1543" spans="1:2">
      <c r="A1543">
        <v>91002501</v>
      </c>
      <c r="B1543" t="s">
        <v>2054</v>
      </c>
    </row>
    <row r="1544" spans="1:2">
      <c r="A1544">
        <v>91002601</v>
      </c>
      <c r="B1544" t="s">
        <v>2055</v>
      </c>
    </row>
    <row r="1545" spans="1:2">
      <c r="A1545">
        <v>91002701</v>
      </c>
      <c r="B1545" t="s">
        <v>2056</v>
      </c>
    </row>
    <row r="1546" spans="1:2">
      <c r="A1546">
        <v>91002801</v>
      </c>
      <c r="B1546" t="s">
        <v>2057</v>
      </c>
    </row>
    <row r="1547" spans="1:2">
      <c r="A1547">
        <v>91002901</v>
      </c>
      <c r="B1547" t="s">
        <v>2058</v>
      </c>
    </row>
    <row r="1548" spans="1:2">
      <c r="A1548">
        <v>91004101</v>
      </c>
      <c r="B1548" t="s">
        <v>2059</v>
      </c>
    </row>
    <row r="1549" spans="1:2">
      <c r="A1549">
        <v>91004601</v>
      </c>
      <c r="B1549" t="s">
        <v>2060</v>
      </c>
    </row>
    <row r="1550" spans="1:2">
      <c r="A1550">
        <v>91004803</v>
      </c>
      <c r="B1550" t="s">
        <v>2061</v>
      </c>
    </row>
    <row r="1551" spans="1:2">
      <c r="A1551">
        <v>91004804</v>
      </c>
      <c r="B1551" t="s">
        <v>2062</v>
      </c>
    </row>
    <row r="1552" spans="1:2">
      <c r="A1552">
        <v>92005601</v>
      </c>
      <c r="B1552" t="s">
        <v>2063</v>
      </c>
    </row>
    <row r="1553" spans="1:2">
      <c r="A1553">
        <v>92099901</v>
      </c>
      <c r="B1553" t="s">
        <v>2064</v>
      </c>
    </row>
    <row r="1554" spans="1:2">
      <c r="A1554">
        <v>92099902</v>
      </c>
      <c r="B1554" t="s">
        <v>2065</v>
      </c>
    </row>
    <row r="1555" spans="1:2">
      <c r="A1555">
        <v>92505901</v>
      </c>
      <c r="B1555" t="s">
        <v>2066</v>
      </c>
    </row>
    <row r="1556" spans="1:2">
      <c r="A1556">
        <v>92505902</v>
      </c>
      <c r="B1556" t="s">
        <v>2067</v>
      </c>
    </row>
    <row r="1557" spans="1:2">
      <c r="A1557">
        <v>92505903</v>
      </c>
      <c r="B1557" t="s">
        <v>2068</v>
      </c>
    </row>
    <row r="1558" spans="1:2">
      <c r="A1558">
        <v>92505904</v>
      </c>
      <c r="B1558" t="s">
        <v>2069</v>
      </c>
    </row>
    <row r="1559" spans="1:2">
      <c r="A1559">
        <v>92505905</v>
      </c>
      <c r="B1559" t="s">
        <v>2070</v>
      </c>
    </row>
    <row r="1560" spans="1:2">
      <c r="A1560">
        <v>92505906</v>
      </c>
      <c r="B1560" t="s">
        <v>2071</v>
      </c>
    </row>
    <row r="1561" spans="1:2">
      <c r="A1561">
        <v>92505907</v>
      </c>
      <c r="B1561" t="s">
        <v>2072</v>
      </c>
    </row>
    <row r="1562" spans="1:2">
      <c r="A1562">
        <v>92505908</v>
      </c>
      <c r="B1562" t="s">
        <v>2073</v>
      </c>
    </row>
    <row r="1563" spans="1:2">
      <c r="A1563">
        <v>92505909</v>
      </c>
      <c r="B1563" t="s">
        <v>2074</v>
      </c>
    </row>
    <row r="1564" spans="1:2">
      <c r="A1564">
        <v>92505910</v>
      </c>
      <c r="B1564" t="s">
        <v>2075</v>
      </c>
    </row>
    <row r="1565" spans="1:2">
      <c r="A1565">
        <v>92505911</v>
      </c>
      <c r="B1565" t="s">
        <v>2076</v>
      </c>
    </row>
    <row r="1566" spans="1:2">
      <c r="A1566">
        <v>92505912</v>
      </c>
      <c r="B1566" t="s">
        <v>2077</v>
      </c>
    </row>
    <row r="1567" spans="1:2">
      <c r="A1567">
        <v>92505913</v>
      </c>
      <c r="B1567" t="s">
        <v>2078</v>
      </c>
    </row>
    <row r="1568" spans="1:2">
      <c r="A1568">
        <v>92505914</v>
      </c>
      <c r="B1568" t="s">
        <v>2079</v>
      </c>
    </row>
    <row r="1569" spans="1:2">
      <c r="A1569">
        <v>92505915</v>
      </c>
      <c r="B1569" t="s">
        <v>2080</v>
      </c>
    </row>
    <row r="1570" spans="1:2">
      <c r="A1570">
        <v>92505916</v>
      </c>
      <c r="B1570" t="s">
        <v>2081</v>
      </c>
    </row>
    <row r="1571" spans="1:2">
      <c r="A1571">
        <v>92505917</v>
      </c>
      <c r="B1571" t="s">
        <v>2082</v>
      </c>
    </row>
    <row r="1572" spans="1:2">
      <c r="A1572">
        <v>92505918</v>
      </c>
      <c r="B1572" t="s">
        <v>2083</v>
      </c>
    </row>
    <row r="1573" spans="1:2">
      <c r="A1573">
        <v>92505919</v>
      </c>
      <c r="B1573" t="s">
        <v>2084</v>
      </c>
    </row>
    <row r="1574" spans="1:2">
      <c r="A1574">
        <v>92505920</v>
      </c>
      <c r="B1574" t="s">
        <v>2085</v>
      </c>
    </row>
    <row r="1575" spans="1:2">
      <c r="A1575">
        <v>92505921</v>
      </c>
      <c r="B1575" t="s">
        <v>2086</v>
      </c>
    </row>
    <row r="1576" spans="1:2">
      <c r="A1576">
        <v>92505922</v>
      </c>
      <c r="B1576" t="s">
        <v>2087</v>
      </c>
    </row>
    <row r="1577" spans="1:2">
      <c r="A1577">
        <v>92505923</v>
      </c>
      <c r="B1577" t="s">
        <v>2088</v>
      </c>
    </row>
    <row r="1578" spans="1:2">
      <c r="A1578">
        <v>92505924</v>
      </c>
      <c r="B1578" t="s">
        <v>2089</v>
      </c>
    </row>
    <row r="1579" spans="1:2">
      <c r="A1579">
        <v>92505925</v>
      </c>
      <c r="B1579" t="s">
        <v>2090</v>
      </c>
    </row>
    <row r="1580" spans="1:2">
      <c r="A1580">
        <v>92505926</v>
      </c>
      <c r="B1580" t="s">
        <v>2091</v>
      </c>
    </row>
    <row r="1581" spans="1:2">
      <c r="A1581">
        <v>92505927</v>
      </c>
      <c r="B1581" t="s">
        <v>2092</v>
      </c>
    </row>
    <row r="1582" spans="1:2">
      <c r="A1582">
        <v>92505928</v>
      </c>
      <c r="B1582" t="s">
        <v>2093</v>
      </c>
    </row>
    <row r="1583" spans="1:2">
      <c r="A1583">
        <v>92505929</v>
      </c>
      <c r="B1583" t="s">
        <v>2094</v>
      </c>
    </row>
    <row r="1584" spans="1:2">
      <c r="A1584">
        <v>92505930</v>
      </c>
      <c r="B1584" t="s">
        <v>2095</v>
      </c>
    </row>
    <row r="1585" spans="1:2">
      <c r="A1585">
        <v>92505931</v>
      </c>
      <c r="B1585" t="s">
        <v>2096</v>
      </c>
    </row>
    <row r="1586" spans="1:2">
      <c r="A1586">
        <v>92505932</v>
      </c>
      <c r="B1586" t="s">
        <v>2097</v>
      </c>
    </row>
    <row r="1587" spans="1:2">
      <c r="A1587">
        <v>92505933</v>
      </c>
      <c r="B1587" t="s">
        <v>2098</v>
      </c>
    </row>
    <row r="1588" spans="1:2">
      <c r="A1588">
        <v>92505934</v>
      </c>
      <c r="B1588" t="s">
        <v>2099</v>
      </c>
    </row>
    <row r="1589" spans="1:2">
      <c r="A1589">
        <v>92505935</v>
      </c>
      <c r="B1589" t="s">
        <v>2100</v>
      </c>
    </row>
    <row r="1590" spans="1:2">
      <c r="A1590">
        <v>92505936</v>
      </c>
      <c r="B1590" t="s">
        <v>2101</v>
      </c>
    </row>
    <row r="1591" spans="1:2">
      <c r="A1591">
        <v>92505937</v>
      </c>
      <c r="B1591" t="s">
        <v>2102</v>
      </c>
    </row>
    <row r="1592" spans="1:2">
      <c r="A1592">
        <v>92505938</v>
      </c>
      <c r="B1592" t="s">
        <v>2103</v>
      </c>
    </row>
    <row r="1593" spans="1:2">
      <c r="A1593">
        <v>92505939</v>
      </c>
      <c r="B1593" t="s">
        <v>2104</v>
      </c>
    </row>
    <row r="1594" spans="1:2">
      <c r="A1594">
        <v>92505940</v>
      </c>
      <c r="B1594" t="s">
        <v>2105</v>
      </c>
    </row>
    <row r="1595" spans="1:2">
      <c r="A1595">
        <v>92505941</v>
      </c>
      <c r="B1595" t="s">
        <v>2106</v>
      </c>
    </row>
    <row r="1596" spans="1:2">
      <c r="A1596">
        <v>92505942</v>
      </c>
      <c r="B1596" t="s">
        <v>2107</v>
      </c>
    </row>
    <row r="1597" spans="1:2">
      <c r="A1597">
        <v>92505943</v>
      </c>
      <c r="B1597" t="s">
        <v>2108</v>
      </c>
    </row>
    <row r="1598" spans="1:2">
      <c r="A1598">
        <v>92505944</v>
      </c>
      <c r="B1598" t="s">
        <v>2109</v>
      </c>
    </row>
    <row r="1599" spans="1:2">
      <c r="A1599">
        <v>92505945</v>
      </c>
      <c r="B1599" t="s">
        <v>2110</v>
      </c>
    </row>
    <row r="1600" spans="1:2">
      <c r="A1600">
        <v>92505946</v>
      </c>
      <c r="B1600" t="s">
        <v>2111</v>
      </c>
    </row>
    <row r="1601" spans="1:2">
      <c r="A1601">
        <v>92505947</v>
      </c>
      <c r="B1601" t="s">
        <v>2112</v>
      </c>
    </row>
    <row r="1602" spans="1:2">
      <c r="A1602">
        <v>92505948</v>
      </c>
      <c r="B1602" t="s">
        <v>2113</v>
      </c>
    </row>
    <row r="1603" spans="1:2">
      <c r="A1603">
        <v>92505949</v>
      </c>
      <c r="B1603" t="s">
        <v>2114</v>
      </c>
    </row>
    <row r="1604" spans="1:2">
      <c r="A1604">
        <v>92505950</v>
      </c>
      <c r="B1604" t="s">
        <v>2115</v>
      </c>
    </row>
    <row r="1605" spans="1:2">
      <c r="A1605">
        <v>92505951</v>
      </c>
      <c r="B1605" t="s">
        <v>2116</v>
      </c>
    </row>
    <row r="1606" spans="1:2">
      <c r="A1606">
        <v>92505952</v>
      </c>
      <c r="B1606" t="s">
        <v>2117</v>
      </c>
    </row>
    <row r="1607" spans="1:2">
      <c r="A1607">
        <v>92505953</v>
      </c>
      <c r="B1607" t="s">
        <v>2118</v>
      </c>
    </row>
    <row r="1608" spans="1:2">
      <c r="A1608">
        <v>92505954</v>
      </c>
      <c r="B1608" t="s">
        <v>2119</v>
      </c>
    </row>
    <row r="1609" spans="1:2">
      <c r="A1609">
        <v>92505955</v>
      </c>
      <c r="B1609" t="s">
        <v>2120</v>
      </c>
    </row>
    <row r="1610" spans="1:2">
      <c r="A1610">
        <v>92505956</v>
      </c>
      <c r="B1610" t="s">
        <v>2121</v>
      </c>
    </row>
    <row r="1611" spans="1:2">
      <c r="A1611">
        <v>92505957</v>
      </c>
      <c r="B1611" t="s">
        <v>2122</v>
      </c>
    </row>
    <row r="1612" spans="1:2">
      <c r="A1612">
        <v>92505958</v>
      </c>
      <c r="B1612" t="s">
        <v>2123</v>
      </c>
    </row>
    <row r="1613" spans="1:2">
      <c r="A1613">
        <v>92505959</v>
      </c>
      <c r="B1613" t="s">
        <v>2124</v>
      </c>
    </row>
    <row r="1614" spans="1:2">
      <c r="A1614">
        <v>92505960</v>
      </c>
      <c r="B1614" t="s">
        <v>2125</v>
      </c>
    </row>
    <row r="1615" spans="1:2">
      <c r="A1615">
        <v>92505961</v>
      </c>
      <c r="B1615" t="s">
        <v>2126</v>
      </c>
    </row>
    <row r="1616" spans="1:2">
      <c r="A1616">
        <v>92505962</v>
      </c>
      <c r="B1616" t="s">
        <v>2127</v>
      </c>
    </row>
    <row r="1617" spans="1:2">
      <c r="A1617">
        <v>92505963</v>
      </c>
      <c r="B1617" t="s">
        <v>2128</v>
      </c>
    </row>
    <row r="1618" spans="1:2">
      <c r="A1618">
        <v>92505964</v>
      </c>
      <c r="B1618" t="s">
        <v>2129</v>
      </c>
    </row>
    <row r="1619" spans="1:2">
      <c r="A1619">
        <v>92505965</v>
      </c>
      <c r="B1619" t="s">
        <v>2130</v>
      </c>
    </row>
    <row r="1620" spans="1:2">
      <c r="A1620">
        <v>92505966</v>
      </c>
      <c r="B1620" t="s">
        <v>2131</v>
      </c>
    </row>
    <row r="1621" spans="1:2">
      <c r="A1621">
        <v>92505967</v>
      </c>
      <c r="B1621" t="s">
        <v>2132</v>
      </c>
    </row>
    <row r="1622" spans="1:2">
      <c r="A1622">
        <v>92505968</v>
      </c>
      <c r="B1622" t="s">
        <v>2133</v>
      </c>
    </row>
    <row r="1623" spans="1:2">
      <c r="A1623">
        <v>92505969</v>
      </c>
      <c r="B1623" t="s">
        <v>2134</v>
      </c>
    </row>
    <row r="1624" spans="1:2">
      <c r="A1624">
        <v>92505970</v>
      </c>
      <c r="B1624" t="s">
        <v>2135</v>
      </c>
    </row>
    <row r="1625" spans="1:2">
      <c r="A1625">
        <v>92505971</v>
      </c>
      <c r="B1625" t="s">
        <v>2136</v>
      </c>
    </row>
    <row r="1626" spans="1:2">
      <c r="A1626">
        <v>92505972</v>
      </c>
      <c r="B1626" t="s">
        <v>2137</v>
      </c>
    </row>
    <row r="1627" spans="1:2">
      <c r="A1627">
        <v>92505973</v>
      </c>
      <c r="B1627" t="s">
        <v>2138</v>
      </c>
    </row>
    <row r="1628" spans="1:2">
      <c r="A1628">
        <v>92505974</v>
      </c>
      <c r="B1628" t="s">
        <v>2139</v>
      </c>
    </row>
    <row r="1629" spans="1:2">
      <c r="A1629">
        <v>92505975</v>
      </c>
      <c r="B1629" t="s">
        <v>2140</v>
      </c>
    </row>
    <row r="1630" spans="1:2">
      <c r="A1630">
        <v>92505976</v>
      </c>
      <c r="B1630" t="s">
        <v>2141</v>
      </c>
    </row>
    <row r="1631" spans="1:2">
      <c r="A1631">
        <v>92505977</v>
      </c>
      <c r="B1631" t="s">
        <v>2142</v>
      </c>
    </row>
    <row r="1632" spans="1:2">
      <c r="A1632">
        <v>92505978</v>
      </c>
      <c r="B1632" t="s">
        <v>2143</v>
      </c>
    </row>
    <row r="1633" spans="1:2">
      <c r="A1633">
        <v>92505979</v>
      </c>
      <c r="B1633" t="s">
        <v>2144</v>
      </c>
    </row>
    <row r="1634" spans="1:2">
      <c r="A1634">
        <v>92505980</v>
      </c>
      <c r="B1634" t="s">
        <v>2145</v>
      </c>
    </row>
    <row r="1635" spans="1:2">
      <c r="A1635">
        <v>92505981</v>
      </c>
      <c r="B1635" t="s">
        <v>2146</v>
      </c>
    </row>
    <row r="1636" spans="1:2">
      <c r="A1636">
        <v>92505982</v>
      </c>
      <c r="B1636" t="s">
        <v>2147</v>
      </c>
    </row>
    <row r="1637" spans="1:2">
      <c r="A1637">
        <v>92505983</v>
      </c>
      <c r="B1637" t="s">
        <v>2148</v>
      </c>
    </row>
    <row r="1638" spans="1:2">
      <c r="A1638">
        <v>92505984</v>
      </c>
      <c r="B1638" t="s">
        <v>2149</v>
      </c>
    </row>
    <row r="1639" spans="1:2">
      <c r="A1639">
        <v>92505985</v>
      </c>
      <c r="B1639" t="s">
        <v>2150</v>
      </c>
    </row>
    <row r="1640" spans="1:2">
      <c r="A1640">
        <v>92505986</v>
      </c>
      <c r="B1640" t="s">
        <v>2151</v>
      </c>
    </row>
    <row r="1641" spans="1:2">
      <c r="A1641">
        <v>92505987</v>
      </c>
      <c r="B1641" t="s">
        <v>2152</v>
      </c>
    </row>
    <row r="1642" spans="1:2">
      <c r="A1642">
        <v>92505988</v>
      </c>
      <c r="B1642" t="s">
        <v>2153</v>
      </c>
    </row>
    <row r="1643" spans="1:2">
      <c r="A1643">
        <v>92505989</v>
      </c>
      <c r="B1643" t="s">
        <v>2154</v>
      </c>
    </row>
    <row r="1644" spans="1:2">
      <c r="A1644">
        <v>92505990</v>
      </c>
      <c r="B1644" t="s">
        <v>2155</v>
      </c>
    </row>
    <row r="1645" spans="1:2">
      <c r="A1645">
        <v>92505991</v>
      </c>
      <c r="B1645" t="s">
        <v>2156</v>
      </c>
    </row>
    <row r="1646" spans="1:2">
      <c r="A1646">
        <v>92505992</v>
      </c>
      <c r="B1646" t="s">
        <v>2454</v>
      </c>
    </row>
    <row r="1647" spans="1:2">
      <c r="A1647">
        <v>92505993</v>
      </c>
      <c r="B1647" t="s">
        <v>2455</v>
      </c>
    </row>
    <row r="1648" spans="1:2">
      <c r="A1648">
        <v>92505994</v>
      </c>
      <c r="B1648" t="s">
        <v>2456</v>
      </c>
    </row>
    <row r="1649" spans="1:2">
      <c r="A1649">
        <v>92506001</v>
      </c>
      <c r="B1649" t="s">
        <v>2157</v>
      </c>
    </row>
    <row r="1650" spans="1:2">
      <c r="A1650">
        <v>92506002</v>
      </c>
      <c r="B1650" t="s">
        <v>2158</v>
      </c>
    </row>
    <row r="1651" spans="1:2">
      <c r="A1651">
        <v>92506003</v>
      </c>
      <c r="B1651" t="s">
        <v>2159</v>
      </c>
    </row>
    <row r="1652" spans="1:2">
      <c r="A1652">
        <v>92506004</v>
      </c>
      <c r="B1652" t="s">
        <v>2160</v>
      </c>
    </row>
    <row r="1653" spans="1:2">
      <c r="A1653">
        <v>92506005</v>
      </c>
      <c r="B1653" t="s">
        <v>2161</v>
      </c>
    </row>
    <row r="1654" spans="1:2">
      <c r="A1654">
        <v>92506006</v>
      </c>
      <c r="B1654" t="s">
        <v>2162</v>
      </c>
    </row>
    <row r="1655" spans="1:2">
      <c r="A1655">
        <v>92506007</v>
      </c>
      <c r="B1655" t="s">
        <v>2163</v>
      </c>
    </row>
    <row r="1656" spans="1:2">
      <c r="A1656">
        <v>92506008</v>
      </c>
      <c r="B1656" t="s">
        <v>2164</v>
      </c>
    </row>
    <row r="1657" spans="1:2">
      <c r="A1657">
        <v>92506009</v>
      </c>
      <c r="B1657" t="s">
        <v>2165</v>
      </c>
    </row>
    <row r="1658" spans="1:2">
      <c r="A1658">
        <v>92506010</v>
      </c>
      <c r="B1658" t="s">
        <v>2166</v>
      </c>
    </row>
    <row r="1659" spans="1:2">
      <c r="A1659">
        <v>92506011</v>
      </c>
      <c r="B1659" t="s">
        <v>2167</v>
      </c>
    </row>
    <row r="1660" spans="1:2">
      <c r="A1660">
        <v>92506012</v>
      </c>
      <c r="B1660" t="s">
        <v>2168</v>
      </c>
    </row>
    <row r="1661" spans="1:2">
      <c r="A1661">
        <v>92506013</v>
      </c>
      <c r="B1661" t="s">
        <v>2169</v>
      </c>
    </row>
    <row r="1662" spans="1:2">
      <c r="A1662">
        <v>92506014</v>
      </c>
      <c r="B1662" t="s">
        <v>2170</v>
      </c>
    </row>
    <row r="1663" spans="1:2">
      <c r="A1663">
        <v>93006101</v>
      </c>
      <c r="B1663" t="s">
        <v>2171</v>
      </c>
    </row>
    <row r="1664" spans="1:2">
      <c r="A1664">
        <v>93006102</v>
      </c>
      <c r="B1664" t="s">
        <v>2172</v>
      </c>
    </row>
    <row r="1665" spans="1:2">
      <c r="A1665">
        <v>93006103</v>
      </c>
      <c r="B1665" t="s">
        <v>2173</v>
      </c>
    </row>
    <row r="1666" spans="1:2">
      <c r="A1666">
        <v>93006104</v>
      </c>
      <c r="B1666" t="s">
        <v>2174</v>
      </c>
    </row>
    <row r="1667" spans="1:2">
      <c r="A1667">
        <v>93006105</v>
      </c>
      <c r="B1667" t="s">
        <v>2175</v>
      </c>
    </row>
    <row r="1668" spans="1:2">
      <c r="A1668">
        <v>93006106</v>
      </c>
      <c r="B1668" t="s">
        <v>2176</v>
      </c>
    </row>
    <row r="1669" spans="1:2">
      <c r="A1669">
        <v>99906201</v>
      </c>
      <c r="B1669" t="s">
        <v>2177</v>
      </c>
    </row>
    <row r="1670" spans="1:2">
      <c r="A1670" t="s">
        <v>2358</v>
      </c>
      <c r="B1670" t="s">
        <v>2359</v>
      </c>
    </row>
    <row r="1671" spans="1:2">
      <c r="A1671" t="s">
        <v>2360</v>
      </c>
      <c r="B1671" t="s">
        <v>2457</v>
      </c>
    </row>
    <row r="1672" spans="1:2">
      <c r="A1672" t="s">
        <v>2361</v>
      </c>
      <c r="B1672" t="s">
        <v>2458</v>
      </c>
    </row>
    <row r="1673" spans="1:2">
      <c r="A1673" t="s">
        <v>2362</v>
      </c>
      <c r="B1673" t="s">
        <v>2459</v>
      </c>
    </row>
    <row r="1674" spans="1:2">
      <c r="A1674" t="s">
        <v>2363</v>
      </c>
      <c r="B1674" t="s">
        <v>2364</v>
      </c>
    </row>
    <row r="1675" spans="1:2">
      <c r="A1675" t="s">
        <v>2365</v>
      </c>
      <c r="B1675" t="s">
        <v>2366</v>
      </c>
    </row>
    <row r="1676" spans="1:2">
      <c r="A1676" t="s">
        <v>2367</v>
      </c>
      <c r="B1676" t="s">
        <v>2368</v>
      </c>
    </row>
    <row r="1677" spans="1:2">
      <c r="A1677" t="s">
        <v>2369</v>
      </c>
      <c r="B1677" t="s">
        <v>2370</v>
      </c>
    </row>
    <row r="1678" spans="1:2">
      <c r="A1678" t="s">
        <v>2371</v>
      </c>
      <c r="B1678" t="s">
        <v>2372</v>
      </c>
    </row>
    <row r="1679" spans="1:2">
      <c r="A1679" t="s">
        <v>2373</v>
      </c>
      <c r="B1679" t="s">
        <v>2374</v>
      </c>
    </row>
    <row r="1680" spans="1:2">
      <c r="A1680" t="s">
        <v>2375</v>
      </c>
      <c r="B1680" t="s">
        <v>2376</v>
      </c>
    </row>
    <row r="1681" spans="1:2">
      <c r="A1681" t="s">
        <v>2377</v>
      </c>
      <c r="B1681" t="s">
        <v>2378</v>
      </c>
    </row>
    <row r="1682" spans="1:2">
      <c r="A1682" t="s">
        <v>2379</v>
      </c>
      <c r="B1682" t="s">
        <v>2380</v>
      </c>
    </row>
    <row r="1683" spans="1:2">
      <c r="A1683" t="s">
        <v>2381</v>
      </c>
      <c r="B1683" t="s">
        <v>2382</v>
      </c>
    </row>
    <row r="1684" spans="1:2">
      <c r="A1684" t="s">
        <v>2383</v>
      </c>
      <c r="B1684" t="s">
        <v>2384</v>
      </c>
    </row>
    <row r="1685" spans="1:2">
      <c r="A1685" t="s">
        <v>2385</v>
      </c>
      <c r="B1685" t="s">
        <v>2386</v>
      </c>
    </row>
    <row r="1686" spans="1:2">
      <c r="A1686" t="s">
        <v>2387</v>
      </c>
      <c r="B1686" t="s">
        <v>2388</v>
      </c>
    </row>
    <row r="1687" spans="1:2">
      <c r="A1687" t="s">
        <v>2389</v>
      </c>
      <c r="B1687" t="s">
        <v>2390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FF99CC"/>
  </sheetPr>
  <dimension ref="A2:AI117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3417</v>
      </c>
      <c r="E2" s="36" t="s">
        <v>50</v>
      </c>
      <c r="F2" s="39">
        <f>工事1!J2</f>
        <v>10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15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ア)東梅田駅の部-床仕上改造その他工事-建築工事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I93</f>
        <v>4544720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3028</v>
      </c>
      <c r="E8" s="99"/>
      <c r="F8" s="274">
        <v>1</v>
      </c>
      <c r="G8" s="115" t="s">
        <v>7</v>
      </c>
      <c r="H8" s="101"/>
      <c r="I8" s="101">
        <f>I116</f>
        <v>1200000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5744720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1031104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+変更諸経費表!J66</f>
        <v>617817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+変更諸経費表!J74</f>
        <v>722148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2371069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8115789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+変更諸経費表!J79</f>
        <v>6035000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11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11</v>
      </c>
    </row>
    <row r="26" spans="1:35" ht="26.25" customHeight="1" thickBot="1">
      <c r="C26" s="2822" t="s">
        <v>319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30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5" t="s">
        <v>6</v>
      </c>
      <c r="K27" s="2826"/>
      <c r="L27" s="2827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19"/>
      <c r="K28" s="2820"/>
      <c r="L28" s="2821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+変更諸経費表!J21</f>
        <v>170368</v>
      </c>
      <c r="I30" s="101">
        <f t="shared" si="0"/>
        <v>170368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170368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+[2]警備員費按分表!$AA$11</f>
        <v>860736</v>
      </c>
      <c r="I42" s="101">
        <f t="shared" si="0"/>
        <v>860736</v>
      </c>
      <c r="J42" s="65" t="s">
        <v>3406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2599"/>
      <c r="E44" s="99"/>
      <c r="F44" s="274"/>
      <c r="G44" s="115"/>
      <c r="H44" s="133"/>
      <c r="I44" s="101"/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860736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1031104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12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12</v>
      </c>
      <c r="O48" s="1"/>
      <c r="P48" s="1"/>
    </row>
    <row r="49" spans="1:34" ht="26.25" customHeight="1" thickBot="1">
      <c r="C49" s="2822" t="s">
        <v>319</v>
      </c>
      <c r="D49" s="2822"/>
      <c r="E49" s="2822"/>
      <c r="F49" s="2822"/>
      <c r="G49" s="2822"/>
      <c r="H49" s="2822"/>
      <c r="I49" s="2822"/>
      <c r="J49" s="2822"/>
      <c r="K49" s="2822"/>
      <c r="L49" s="2822"/>
      <c r="O49" s="2828" t="s">
        <v>132</v>
      </c>
      <c r="P49" s="2829"/>
      <c r="Q49" s="2829"/>
      <c r="R49" s="2829"/>
      <c r="S49" s="2829"/>
      <c r="T49" s="2829"/>
      <c r="U49" s="2829"/>
      <c r="V49" s="2829"/>
      <c r="W49" s="2829"/>
      <c r="X49" s="2829"/>
      <c r="Y49" s="2829"/>
      <c r="Z49" s="2829"/>
      <c r="AA49" s="2829"/>
      <c r="AB49" s="2829"/>
      <c r="AC49" s="2829"/>
      <c r="AD49" s="2829"/>
      <c r="AE49" s="2829"/>
      <c r="AF49" s="2829"/>
      <c r="AG49" s="2830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5" t="s">
        <v>6</v>
      </c>
      <c r="K50" s="2826"/>
      <c r="L50" s="2827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3009</v>
      </c>
      <c r="D51" s="96"/>
      <c r="E51" s="97"/>
      <c r="F51" s="273"/>
      <c r="G51" s="132"/>
      <c r="H51" s="91" t="s">
        <v>11</v>
      </c>
      <c r="I51" s="91" t="s">
        <v>11</v>
      </c>
      <c r="J51" s="2819"/>
      <c r="K51" s="2820"/>
      <c r="L51" s="2821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39" customFormat="1" ht="24" customHeight="1">
      <c r="A53" s="38"/>
      <c r="B53" s="38"/>
      <c r="C53" s="124"/>
      <c r="D53" s="2599"/>
      <c r="E53" s="99"/>
      <c r="F53" s="274"/>
      <c r="G53" s="115"/>
      <c r="H53" s="133"/>
      <c r="I53" s="101"/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4" s="2586" customFormat="1" ht="24" customHeight="1">
      <c r="A54" s="2566">
        <v>4</v>
      </c>
      <c r="B54" s="2566">
        <v>4</v>
      </c>
      <c r="C54" s="2567">
        <v>201</v>
      </c>
      <c r="D54" s="2568" t="s">
        <v>3381</v>
      </c>
      <c r="E54" s="2569" t="s">
        <v>3382</v>
      </c>
      <c r="F54" s="2570">
        <v>4</v>
      </c>
      <c r="G54" s="2571" t="s">
        <v>3388</v>
      </c>
      <c r="H54" s="2572">
        <f>見積比較!O$59</f>
        <v>290000</v>
      </c>
      <c r="I54" s="101">
        <f>IF(F54="","",INT(F54*H54))</f>
        <v>1160000</v>
      </c>
      <c r="J54" s="2574" t="s">
        <v>3389</v>
      </c>
      <c r="K54" s="2575"/>
      <c r="L54" s="2576"/>
      <c r="M54" s="2577"/>
      <c r="N54" s="2578"/>
      <c r="O54" s="2579">
        <v>0</v>
      </c>
      <c r="P54" s="2580"/>
      <c r="Q54" s="2581"/>
      <c r="R54" s="2581"/>
      <c r="S54" s="2581"/>
      <c r="T54" s="2581"/>
      <c r="U54" s="2581"/>
      <c r="V54" s="2581"/>
      <c r="W54" s="2581"/>
      <c r="X54" s="2582"/>
      <c r="Y54" s="2582"/>
      <c r="Z54" s="2582"/>
      <c r="AA54" s="2582"/>
      <c r="AB54" s="2582"/>
      <c r="AC54" s="2581"/>
      <c r="AD54" s="2583"/>
      <c r="AE54" s="2584"/>
      <c r="AF54" s="2581"/>
      <c r="AG54" s="2581"/>
      <c r="AH54" s="2585"/>
    </row>
    <row r="55" spans="1:34" s="2586" customFormat="1" ht="24" customHeight="1">
      <c r="A55" s="2566"/>
      <c r="B55" s="2566"/>
      <c r="C55" s="2567"/>
      <c r="D55" s="2598" t="str">
        <f>+見積類似!L8</f>
        <v>鼻先ｽﾃﾝﾚｽプレート</v>
      </c>
      <c r="E55" s="2569" t="str">
        <f>+見積類似!M8</f>
        <v>4-M10　タップネジ切</v>
      </c>
      <c r="F55" s="2570"/>
      <c r="G55" s="2571"/>
      <c r="H55" s="2572"/>
      <c r="I55" s="2573" t="str">
        <f t="shared" ref="I55:I61" si="1">IF(F55="","",INT(F55*H55))</f>
        <v/>
      </c>
      <c r="J55" s="2574"/>
      <c r="K55" s="2575"/>
      <c r="L55" s="2576"/>
      <c r="M55" s="2577"/>
      <c r="N55" s="2578"/>
      <c r="O55" s="2579"/>
      <c r="P55" s="2580"/>
      <c r="Q55" s="2581"/>
      <c r="R55" s="2581"/>
      <c r="S55" s="2581"/>
      <c r="T55" s="2581"/>
      <c r="U55" s="2581"/>
      <c r="V55" s="2581"/>
      <c r="W55" s="2581"/>
      <c r="X55" s="2582"/>
      <c r="Y55" s="2582"/>
      <c r="Z55" s="2582"/>
      <c r="AA55" s="2582"/>
      <c r="AB55" s="2582"/>
      <c r="AC55" s="2581"/>
      <c r="AD55" s="2583"/>
      <c r="AE55" s="2584"/>
      <c r="AF55" s="2581"/>
      <c r="AG55" s="2581"/>
      <c r="AH55" s="2585"/>
    </row>
    <row r="56" spans="1:34" s="2586" customFormat="1" ht="24" customHeight="1">
      <c r="A56" s="2566"/>
      <c r="B56" s="2566"/>
      <c r="C56" s="2567"/>
      <c r="D56" s="2598"/>
      <c r="E56" s="2569" t="str">
        <f>+見積類似!M9</f>
        <v>SUS-50×50×4　L=40　4カ所</v>
      </c>
      <c r="F56" s="2570"/>
      <c r="G56" s="2571"/>
      <c r="H56" s="2572"/>
      <c r="I56" s="2573" t="str">
        <f t="shared" si="1"/>
        <v/>
      </c>
      <c r="J56" s="2574"/>
      <c r="K56" s="2575"/>
      <c r="L56" s="2576"/>
      <c r="M56" s="2577"/>
      <c r="N56" s="2578"/>
      <c r="O56" s="2579"/>
      <c r="P56" s="2580"/>
      <c r="Q56" s="2581"/>
      <c r="R56" s="2581"/>
      <c r="S56" s="2581"/>
      <c r="T56" s="2581"/>
      <c r="U56" s="2581"/>
      <c r="V56" s="2581"/>
      <c r="W56" s="2581"/>
      <c r="X56" s="2582"/>
      <c r="Y56" s="2582"/>
      <c r="Z56" s="2582"/>
      <c r="AA56" s="2582"/>
      <c r="AB56" s="2582"/>
      <c r="AC56" s="2581"/>
      <c r="AD56" s="2583"/>
      <c r="AE56" s="2584"/>
      <c r="AF56" s="2581"/>
      <c r="AG56" s="2581"/>
      <c r="AH56" s="2585"/>
    </row>
    <row r="57" spans="1:34" s="2586" customFormat="1" ht="24" customHeight="1">
      <c r="A57" s="2566"/>
      <c r="B57" s="2566"/>
      <c r="C57" s="2567"/>
      <c r="D57" s="2598"/>
      <c r="E57" s="2569" t="str">
        <f>+見積類似!M10</f>
        <v>固定ボルトφ12</v>
      </c>
      <c r="F57" s="2570"/>
      <c r="G57" s="2571"/>
      <c r="H57" s="2572"/>
      <c r="I57" s="2573" t="str">
        <f t="shared" si="1"/>
        <v/>
      </c>
      <c r="J57" s="2574"/>
      <c r="K57" s="2575"/>
      <c r="L57" s="2576"/>
      <c r="M57" s="2577"/>
      <c r="N57" s="2578"/>
      <c r="O57" s="2579"/>
      <c r="P57" s="2580"/>
      <c r="Q57" s="2581"/>
      <c r="R57" s="2581"/>
      <c r="S57" s="2581"/>
      <c r="T57" s="2581"/>
      <c r="U57" s="2581"/>
      <c r="V57" s="2581"/>
      <c r="W57" s="2581"/>
      <c r="X57" s="2582"/>
      <c r="Y57" s="2582"/>
      <c r="Z57" s="2582"/>
      <c r="AA57" s="2582"/>
      <c r="AB57" s="2582"/>
      <c r="AC57" s="2581"/>
      <c r="AD57" s="2583"/>
      <c r="AE57" s="2584"/>
      <c r="AF57" s="2581"/>
      <c r="AG57" s="2581"/>
      <c r="AH57" s="2585"/>
    </row>
    <row r="58" spans="1:34" s="2586" customFormat="1" ht="24" customHeight="1">
      <c r="A58" s="2566"/>
      <c r="B58" s="2566"/>
      <c r="C58" s="2567"/>
      <c r="D58" s="2598"/>
      <c r="E58" s="2569" t="str">
        <f>+見積類似!M11</f>
        <v>SUS-30×30×3　L=475　4カ所</v>
      </c>
      <c r="F58" s="2570"/>
      <c r="G58" s="2571"/>
      <c r="H58" s="2572"/>
      <c r="I58" s="2573" t="str">
        <f t="shared" si="1"/>
        <v/>
      </c>
      <c r="J58" s="2574"/>
      <c r="K58" s="2575"/>
      <c r="L58" s="2576"/>
      <c r="M58" s="2577"/>
      <c r="N58" s="2578"/>
      <c r="O58" s="2579"/>
      <c r="P58" s="2580"/>
      <c r="Q58" s="2581"/>
      <c r="R58" s="2581"/>
      <c r="S58" s="2581"/>
      <c r="T58" s="2581"/>
      <c r="U58" s="2581"/>
      <c r="V58" s="2581"/>
      <c r="W58" s="2581"/>
      <c r="X58" s="2582"/>
      <c r="Y58" s="2582"/>
      <c r="Z58" s="2582"/>
      <c r="AA58" s="2582"/>
      <c r="AB58" s="2582"/>
      <c r="AC58" s="2581"/>
      <c r="AD58" s="2583"/>
      <c r="AE58" s="2584"/>
      <c r="AF58" s="2581"/>
      <c r="AG58" s="2581"/>
      <c r="AH58" s="2585"/>
    </row>
    <row r="59" spans="1:34" s="2586" customFormat="1" ht="24" customHeight="1">
      <c r="A59" s="2566"/>
      <c r="B59" s="2566"/>
      <c r="C59" s="2567"/>
      <c r="D59" s="2598"/>
      <c r="E59" s="2569" t="str">
        <f>+見積類似!M12</f>
        <v>固定アンカー2-φ12</v>
      </c>
      <c r="F59" s="2570"/>
      <c r="G59" s="2571"/>
      <c r="H59" s="2572"/>
      <c r="I59" s="2573" t="str">
        <f t="shared" si="1"/>
        <v/>
      </c>
      <c r="J59" s="2574"/>
      <c r="K59" s="2575"/>
      <c r="L59" s="2576"/>
      <c r="M59" s="2577"/>
      <c r="N59" s="2578"/>
      <c r="O59" s="2579"/>
      <c r="P59" s="2580"/>
      <c r="Q59" s="2581"/>
      <c r="R59" s="2581"/>
      <c r="S59" s="2581"/>
      <c r="T59" s="2581"/>
      <c r="U59" s="2581"/>
      <c r="V59" s="2581"/>
      <c r="W59" s="2581"/>
      <c r="X59" s="2582"/>
      <c r="Y59" s="2582"/>
      <c r="Z59" s="2582"/>
      <c r="AA59" s="2582"/>
      <c r="AB59" s="2582"/>
      <c r="AC59" s="2581"/>
      <c r="AD59" s="2583"/>
      <c r="AE59" s="2584"/>
      <c r="AF59" s="2581"/>
      <c r="AG59" s="2581"/>
      <c r="AH59" s="2585"/>
    </row>
    <row r="60" spans="1:34" s="2586" customFormat="1" ht="24" customHeight="1">
      <c r="A60" s="2566"/>
      <c r="B60" s="2566"/>
      <c r="C60" s="2567"/>
      <c r="D60" s="2598"/>
      <c r="E60" s="2569" t="str">
        <f>+見積類似!M13</f>
        <v>SUSM10　六角ボルト</v>
      </c>
      <c r="F60" s="2570"/>
      <c r="G60" s="2571"/>
      <c r="H60" s="2572"/>
      <c r="I60" s="2573" t="str">
        <f t="shared" si="1"/>
        <v/>
      </c>
      <c r="J60" s="2574"/>
      <c r="K60" s="2575"/>
      <c r="L60" s="2576"/>
      <c r="M60" s="2577"/>
      <c r="N60" s="2578"/>
      <c r="O60" s="2579"/>
      <c r="P60" s="2580"/>
      <c r="Q60" s="2581"/>
      <c r="R60" s="2581"/>
      <c r="S60" s="2581"/>
      <c r="T60" s="2581"/>
      <c r="U60" s="2581"/>
      <c r="V60" s="2581"/>
      <c r="W60" s="2581"/>
      <c r="X60" s="2582"/>
      <c r="Y60" s="2582"/>
      <c r="Z60" s="2582"/>
      <c r="AA60" s="2582"/>
      <c r="AB60" s="2582"/>
      <c r="AC60" s="2581"/>
      <c r="AD60" s="2583"/>
      <c r="AE60" s="2584"/>
      <c r="AF60" s="2581"/>
      <c r="AG60" s="2581"/>
      <c r="AH60" s="2585"/>
    </row>
    <row r="61" spans="1:34" s="2586" customFormat="1" ht="24" customHeight="1">
      <c r="A61" s="2566"/>
      <c r="B61" s="2566"/>
      <c r="C61" s="2567"/>
      <c r="D61" s="2598"/>
      <c r="E61" s="2569" t="str">
        <f>+見積類似!M14</f>
        <v>あと施工ｱﾝｶｰ　2-M10</v>
      </c>
      <c r="F61" s="2570"/>
      <c r="G61" s="2571"/>
      <c r="H61" s="2572"/>
      <c r="I61" s="2573" t="str">
        <f t="shared" si="1"/>
        <v/>
      </c>
      <c r="J61" s="2574"/>
      <c r="K61" s="2575"/>
      <c r="L61" s="2576"/>
      <c r="M61" s="2577"/>
      <c r="N61" s="2578"/>
      <c r="O61" s="2579"/>
      <c r="P61" s="2580"/>
      <c r="Q61" s="2581"/>
      <c r="R61" s="2581"/>
      <c r="S61" s="2581"/>
      <c r="T61" s="2581"/>
      <c r="U61" s="2581"/>
      <c r="V61" s="2581"/>
      <c r="W61" s="2581"/>
      <c r="X61" s="2582"/>
      <c r="Y61" s="2582"/>
      <c r="Z61" s="2582"/>
      <c r="AA61" s="2582"/>
      <c r="AB61" s="2582"/>
      <c r="AC61" s="2581"/>
      <c r="AD61" s="2583"/>
      <c r="AE61" s="2584"/>
      <c r="AF61" s="2581"/>
      <c r="AG61" s="2581"/>
      <c r="AH61" s="2585"/>
    </row>
    <row r="62" spans="1:34" s="2586" customFormat="1" ht="24" customHeight="1">
      <c r="A62" s="2566"/>
      <c r="B62" s="2566"/>
      <c r="C62" s="2567"/>
      <c r="D62" s="2598"/>
      <c r="E62" s="2569"/>
      <c r="F62" s="2570"/>
      <c r="G62" s="2571"/>
      <c r="H62" s="2572"/>
      <c r="I62" s="2573"/>
      <c r="J62" s="2574"/>
      <c r="K62" s="2575"/>
      <c r="L62" s="2576"/>
      <c r="M62" s="2577"/>
      <c r="N62" s="2578"/>
      <c r="O62" s="2579"/>
      <c r="P62" s="2580"/>
      <c r="Q62" s="2581"/>
      <c r="R62" s="2581"/>
      <c r="S62" s="2581"/>
      <c r="T62" s="2581"/>
      <c r="U62" s="2581"/>
      <c r="V62" s="2581"/>
      <c r="W62" s="2581"/>
      <c r="X62" s="2582"/>
      <c r="Y62" s="2582"/>
      <c r="Z62" s="2582"/>
      <c r="AA62" s="2582"/>
      <c r="AB62" s="2582"/>
      <c r="AC62" s="2581"/>
      <c r="AD62" s="2583"/>
      <c r="AE62" s="2584"/>
      <c r="AF62" s="2581"/>
      <c r="AG62" s="2581"/>
      <c r="AH62" s="2585"/>
    </row>
    <row r="63" spans="1:34" s="2586" customFormat="1" ht="24" customHeight="1">
      <c r="A63" s="2566">
        <v>4</v>
      </c>
      <c r="B63" s="2566">
        <v>4</v>
      </c>
      <c r="C63" s="2567">
        <v>200</v>
      </c>
      <c r="D63" s="2568" t="s">
        <v>3390</v>
      </c>
      <c r="E63" s="2569" t="s">
        <v>3391</v>
      </c>
      <c r="F63" s="2570">
        <v>10</v>
      </c>
      <c r="G63" s="2571" t="s">
        <v>3383</v>
      </c>
      <c r="H63" s="2572">
        <f>見積比較!O$68</f>
        <v>249000</v>
      </c>
      <c r="I63" s="101">
        <f>IF(F63="","",INT(F63*H63))</f>
        <v>2490000</v>
      </c>
      <c r="J63" s="2574" t="s">
        <v>3282</v>
      </c>
      <c r="K63" s="2575"/>
      <c r="L63" s="2576"/>
      <c r="M63" s="2577"/>
      <c r="N63" s="2578"/>
      <c r="O63" s="2579">
        <v>0</v>
      </c>
      <c r="P63" s="2580"/>
      <c r="Q63" s="2581"/>
      <c r="R63" s="2581"/>
      <c r="S63" s="2581"/>
      <c r="T63" s="2581"/>
      <c r="U63" s="2581"/>
      <c r="V63" s="2581"/>
      <c r="W63" s="2581"/>
      <c r="X63" s="2582"/>
      <c r="Y63" s="2582"/>
      <c r="Z63" s="2582"/>
      <c r="AA63" s="2582"/>
      <c r="AB63" s="2582"/>
      <c r="AC63" s="2581"/>
      <c r="AD63" s="2583"/>
      <c r="AE63" s="2584"/>
      <c r="AF63" s="2581"/>
      <c r="AG63" s="2581"/>
      <c r="AH63" s="2585"/>
    </row>
    <row r="64" spans="1:34" s="2586" customFormat="1" ht="24" customHeight="1">
      <c r="A64" s="2566"/>
      <c r="B64" s="2566"/>
      <c r="C64" s="2567"/>
      <c r="D64" s="2598" t="str">
        <f>+見積比較!D69</f>
        <v>連結部扉部鼻先架台</v>
      </c>
      <c r="E64" s="2569" t="str">
        <f>+見積比較!E69</f>
        <v>床板ｽﾁｰﾙPL-3.2×W350×L900</v>
      </c>
      <c r="F64" s="2570"/>
      <c r="G64" s="2571"/>
      <c r="H64" s="2572"/>
      <c r="I64" s="2573" t="str">
        <f t="shared" ref="I64:I69" si="2">IF(F64="","",INT(F64*H64))</f>
        <v/>
      </c>
      <c r="J64" s="2574"/>
      <c r="K64" s="2575"/>
      <c r="L64" s="2576"/>
      <c r="M64" s="2577"/>
      <c r="N64" s="2578"/>
      <c r="O64" s="2579"/>
      <c r="P64" s="2580"/>
      <c r="Q64" s="2581"/>
      <c r="R64" s="2581"/>
      <c r="S64" s="2581"/>
      <c r="T64" s="2581"/>
      <c r="U64" s="2581"/>
      <c r="V64" s="2581"/>
      <c r="W64" s="2581"/>
      <c r="X64" s="2582"/>
      <c r="Y64" s="2582"/>
      <c r="Z64" s="2582"/>
      <c r="AA64" s="2582"/>
      <c r="AB64" s="2582"/>
      <c r="AC64" s="2581"/>
      <c r="AD64" s="2583"/>
      <c r="AE64" s="2584"/>
      <c r="AF64" s="2581"/>
      <c r="AG64" s="2581"/>
      <c r="AH64" s="2585"/>
    </row>
    <row r="65" spans="1:34" s="2586" customFormat="1" ht="24" customHeight="1">
      <c r="A65" s="2566"/>
      <c r="B65" s="2566"/>
      <c r="C65" s="2567"/>
      <c r="D65" s="2598"/>
      <c r="E65" s="2569" t="str">
        <f>+見積比較!E70</f>
        <v>ビス止め</v>
      </c>
      <c r="F65" s="2570"/>
      <c r="G65" s="2571"/>
      <c r="H65" s="2572"/>
      <c r="I65" s="2573" t="str">
        <f t="shared" si="2"/>
        <v/>
      </c>
      <c r="J65" s="2574"/>
      <c r="K65" s="2575"/>
      <c r="L65" s="2576"/>
      <c r="M65" s="2577"/>
      <c r="N65" s="2578"/>
      <c r="O65" s="2579"/>
      <c r="P65" s="2580"/>
      <c r="Q65" s="2581"/>
      <c r="R65" s="2581"/>
      <c r="S65" s="2581"/>
      <c r="T65" s="2581"/>
      <c r="U65" s="2581"/>
      <c r="V65" s="2581"/>
      <c r="W65" s="2581"/>
      <c r="X65" s="2582"/>
      <c r="Y65" s="2582"/>
      <c r="Z65" s="2582"/>
      <c r="AA65" s="2582"/>
      <c r="AB65" s="2582"/>
      <c r="AC65" s="2581"/>
      <c r="AD65" s="2583"/>
      <c r="AE65" s="2584"/>
      <c r="AF65" s="2581"/>
      <c r="AG65" s="2581"/>
      <c r="AH65" s="2585"/>
    </row>
    <row r="66" spans="1:34" s="2586" customFormat="1" ht="24" customHeight="1">
      <c r="A66" s="2566"/>
      <c r="B66" s="2566"/>
      <c r="C66" s="2567"/>
      <c r="D66" s="2598"/>
      <c r="E66" s="2569" t="str">
        <f>+見積比較!E71</f>
        <v>下地ｽﾁｰﾙ☐-25×25×1.6　＠300</v>
      </c>
      <c r="F66" s="2570"/>
      <c r="G66" s="2571"/>
      <c r="H66" s="2572"/>
      <c r="I66" s="2573" t="str">
        <f t="shared" si="2"/>
        <v/>
      </c>
      <c r="J66" s="2574"/>
      <c r="K66" s="2575"/>
      <c r="L66" s="2576"/>
      <c r="M66" s="2577"/>
      <c r="N66" s="2578"/>
      <c r="O66" s="2579"/>
      <c r="P66" s="2580"/>
      <c r="Q66" s="2581"/>
      <c r="R66" s="2581"/>
      <c r="S66" s="2581"/>
      <c r="T66" s="2581"/>
      <c r="U66" s="2581"/>
      <c r="V66" s="2581"/>
      <c r="W66" s="2581"/>
      <c r="X66" s="2582"/>
      <c r="Y66" s="2582"/>
      <c r="Z66" s="2582"/>
      <c r="AA66" s="2582"/>
      <c r="AB66" s="2582"/>
      <c r="AC66" s="2581"/>
      <c r="AD66" s="2583"/>
      <c r="AE66" s="2584"/>
      <c r="AF66" s="2581"/>
      <c r="AG66" s="2581"/>
      <c r="AH66" s="2585"/>
    </row>
    <row r="67" spans="1:34" s="2586" customFormat="1" ht="24" customHeight="1">
      <c r="A67" s="2566"/>
      <c r="B67" s="2566"/>
      <c r="C67" s="2567"/>
      <c r="D67" s="2598"/>
      <c r="E67" s="2569" t="str">
        <f>+見積比較!E72</f>
        <v>取付ｱﾝｸﾞﾙ：L-25×25×2.3　L=50</v>
      </c>
      <c r="F67" s="2570"/>
      <c r="G67" s="2571"/>
      <c r="H67" s="2572"/>
      <c r="I67" s="2573" t="str">
        <f t="shared" si="2"/>
        <v/>
      </c>
      <c r="J67" s="2574"/>
      <c r="K67" s="2575"/>
      <c r="L67" s="2576"/>
      <c r="M67" s="2577"/>
      <c r="N67" s="2578"/>
      <c r="O67" s="2579"/>
      <c r="P67" s="2580"/>
      <c r="Q67" s="2581"/>
      <c r="R67" s="2581"/>
      <c r="S67" s="2581"/>
      <c r="T67" s="2581"/>
      <c r="U67" s="2581"/>
      <c r="V67" s="2581"/>
      <c r="W67" s="2581"/>
      <c r="X67" s="2582"/>
      <c r="Y67" s="2582"/>
      <c r="Z67" s="2582"/>
      <c r="AA67" s="2582"/>
      <c r="AB67" s="2582"/>
      <c r="AC67" s="2581"/>
      <c r="AD67" s="2583"/>
      <c r="AE67" s="2584"/>
      <c r="AF67" s="2581"/>
      <c r="AG67" s="2581"/>
      <c r="AH67" s="2585"/>
    </row>
    <row r="68" spans="1:34" s="2586" customFormat="1" ht="24" customHeight="1">
      <c r="A68" s="2566"/>
      <c r="B68" s="2566"/>
      <c r="C68" s="2567"/>
      <c r="D68" s="2598"/>
      <c r="E68" s="2569" t="str">
        <f>+見積比較!E73</f>
        <v>錆止め2回塗り共</v>
      </c>
      <c r="F68" s="2570"/>
      <c r="G68" s="2571"/>
      <c r="H68" s="2572"/>
      <c r="I68" s="2573"/>
      <c r="J68" s="2574"/>
      <c r="K68" s="2575"/>
      <c r="L68" s="2576"/>
      <c r="M68" s="2577"/>
      <c r="N68" s="2578"/>
      <c r="O68" s="2579"/>
      <c r="P68" s="2580"/>
      <c r="Q68" s="2581"/>
      <c r="R68" s="2581"/>
      <c r="S68" s="2581"/>
      <c r="T68" s="2581"/>
      <c r="U68" s="2581"/>
      <c r="V68" s="2581"/>
      <c r="W68" s="2581"/>
      <c r="X68" s="2582"/>
      <c r="Y68" s="2582"/>
      <c r="Z68" s="2582"/>
      <c r="AA68" s="2582"/>
      <c r="AB68" s="2582"/>
      <c r="AC68" s="2581"/>
      <c r="AD68" s="2583"/>
      <c r="AE68" s="2584"/>
      <c r="AF68" s="2581"/>
      <c r="AG68" s="2581"/>
      <c r="AH68" s="2585"/>
    </row>
    <row r="69" spans="1:34" s="2586" customFormat="1" ht="24" customHeight="1">
      <c r="A69" s="2566"/>
      <c r="B69" s="2566"/>
      <c r="C69" s="2567"/>
      <c r="D69" s="2598"/>
      <c r="E69" s="2569" t="str">
        <f>+見積比較!E74</f>
        <v>取り合いシーリング共</v>
      </c>
      <c r="F69" s="2570"/>
      <c r="G69" s="2571"/>
      <c r="H69" s="2572"/>
      <c r="I69" s="2573" t="str">
        <f t="shared" si="2"/>
        <v/>
      </c>
      <c r="J69" s="2574"/>
      <c r="K69" s="2575"/>
      <c r="L69" s="2576"/>
      <c r="M69" s="2577"/>
      <c r="N69" s="2578"/>
      <c r="O69" s="2579"/>
      <c r="P69" s="2580"/>
      <c r="Q69" s="2581"/>
      <c r="R69" s="2581"/>
      <c r="S69" s="2581"/>
      <c r="T69" s="2581"/>
      <c r="U69" s="2581"/>
      <c r="V69" s="2581"/>
      <c r="W69" s="2581"/>
      <c r="X69" s="2582"/>
      <c r="Y69" s="2582"/>
      <c r="Z69" s="2582"/>
      <c r="AA69" s="2582"/>
      <c r="AB69" s="2582"/>
      <c r="AC69" s="2581"/>
      <c r="AD69" s="2583"/>
      <c r="AE69" s="2584"/>
      <c r="AF69" s="2581"/>
      <c r="AG69" s="2581"/>
      <c r="AH69" s="2585"/>
    </row>
    <row r="70" spans="1:34" ht="24" customHeight="1" thickBot="1">
      <c r="A70" s="38"/>
      <c r="B70" s="38"/>
      <c r="C70" s="103"/>
      <c r="D70" s="92"/>
      <c r="E70" s="104"/>
      <c r="F70" s="275"/>
      <c r="G70" s="118"/>
      <c r="H70" s="127"/>
      <c r="I70" s="2565">
        <f>SUM(I52:I69)</f>
        <v>3650000</v>
      </c>
      <c r="J70" s="822"/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13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13</v>
      </c>
      <c r="O71" s="1"/>
      <c r="P71" s="1"/>
    </row>
    <row r="72" spans="1:34" ht="26.25" customHeight="1" thickBot="1">
      <c r="C72" s="2822" t="s">
        <v>320</v>
      </c>
      <c r="D72" s="2822"/>
      <c r="E72" s="2822"/>
      <c r="F72" s="2822"/>
      <c r="G72" s="2822"/>
      <c r="H72" s="2822"/>
      <c r="I72" s="2822"/>
      <c r="J72" s="2822"/>
      <c r="K72" s="2822"/>
      <c r="L72" s="2822"/>
      <c r="O72" s="2823" t="s">
        <v>132</v>
      </c>
      <c r="P72" s="2823"/>
      <c r="Q72" s="2823"/>
      <c r="R72" s="2823"/>
      <c r="S72" s="2823"/>
      <c r="T72" s="2823"/>
      <c r="U72" s="2823"/>
      <c r="V72" s="2823"/>
      <c r="W72" s="2823"/>
      <c r="X72" s="2823"/>
      <c r="Y72" s="2823"/>
      <c r="Z72" s="2823"/>
      <c r="AA72" s="2823"/>
      <c r="AB72" s="2823"/>
      <c r="AC72" s="2823"/>
      <c r="AD72" s="2823"/>
      <c r="AE72" s="2823"/>
      <c r="AF72" s="2823"/>
      <c r="AG72" s="2823"/>
      <c r="AH72" s="2824"/>
    </row>
    <row r="73" spans="1:34" ht="41.25" customHeight="1">
      <c r="A73" s="5" t="s">
        <v>10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5" t="s">
        <v>6</v>
      </c>
      <c r="K73" s="2826"/>
      <c r="L73" s="2827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2495</v>
      </c>
      <c r="D74" s="129"/>
      <c r="E74" s="130"/>
      <c r="F74" s="273"/>
      <c r="G74" s="98"/>
      <c r="H74" s="90" t="s">
        <v>11</v>
      </c>
      <c r="I74" s="90" t="s">
        <v>11</v>
      </c>
      <c r="J74" s="2819"/>
      <c r="K74" s="2820"/>
      <c r="L74" s="2821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>
        <v>300</v>
      </c>
      <c r="D76" s="785" t="s">
        <v>3317</v>
      </c>
      <c r="E76" s="114" t="s">
        <v>3321</v>
      </c>
      <c r="F76" s="274">
        <v>1</v>
      </c>
      <c r="G76" s="115" t="s">
        <v>3322</v>
      </c>
      <c r="H76" s="131">
        <f>見積比較!O$5</f>
        <v>8120</v>
      </c>
      <c r="I76" s="101">
        <f t="shared" ref="I76:I81" si="4">IF(F76="","",INT(F76*H76))</f>
        <v>8120</v>
      </c>
      <c r="J76" s="64" t="s">
        <v>3323</v>
      </c>
      <c r="K76" s="65"/>
      <c r="L76" s="66"/>
      <c r="M76" s="525"/>
      <c r="N76" s="520"/>
      <c r="O76" s="227">
        <v>0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>
        <v>301</v>
      </c>
      <c r="D77" s="785" t="s">
        <v>3317</v>
      </c>
      <c r="E77" s="114" t="s">
        <v>3318</v>
      </c>
      <c r="F77" s="274">
        <v>32</v>
      </c>
      <c r="G77" s="115" t="s">
        <v>3319</v>
      </c>
      <c r="H77" s="131">
        <f>見積比較!O$6</f>
        <v>10200</v>
      </c>
      <c r="I77" s="101">
        <f t="shared" si="4"/>
        <v>326400</v>
      </c>
      <c r="J77" s="64" t="s">
        <v>3320</v>
      </c>
      <c r="K77" s="65"/>
      <c r="L77" s="66"/>
      <c r="M77" s="525"/>
      <c r="N77" s="520"/>
      <c r="O77" s="227">
        <v>0</v>
      </c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>
        <v>4</v>
      </c>
      <c r="B78" s="38">
        <v>4</v>
      </c>
      <c r="C78" s="124">
        <v>302</v>
      </c>
      <c r="D78" s="785" t="s">
        <v>3317</v>
      </c>
      <c r="E78" s="114" t="s">
        <v>3324</v>
      </c>
      <c r="F78" s="274">
        <v>2</v>
      </c>
      <c r="G78" s="115" t="s">
        <v>3325</v>
      </c>
      <c r="H78" s="131">
        <f>見積比較!O$7</f>
        <v>12300</v>
      </c>
      <c r="I78" s="101">
        <f t="shared" si="4"/>
        <v>24600</v>
      </c>
      <c r="J78" s="64" t="s">
        <v>3323</v>
      </c>
      <c r="K78" s="65"/>
      <c r="L78" s="66"/>
      <c r="M78" s="525"/>
      <c r="N78" s="520"/>
      <c r="O78" s="227">
        <v>0</v>
      </c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4</v>
      </c>
      <c r="B79" s="38">
        <v>4</v>
      </c>
      <c r="C79" s="124">
        <v>303</v>
      </c>
      <c r="D79" s="785" t="s">
        <v>3305</v>
      </c>
      <c r="E79" s="114" t="s">
        <v>3326</v>
      </c>
      <c r="F79" s="274">
        <v>1</v>
      </c>
      <c r="G79" s="115" t="s">
        <v>3327</v>
      </c>
      <c r="H79" s="131">
        <f>見積比較!O$8</f>
        <v>20800</v>
      </c>
      <c r="I79" s="101">
        <f t="shared" si="4"/>
        <v>20800</v>
      </c>
      <c r="J79" s="64" t="s">
        <v>3320</v>
      </c>
      <c r="K79" s="65"/>
      <c r="L79" s="66"/>
      <c r="M79" s="525"/>
      <c r="N79" s="520"/>
      <c r="O79" s="227">
        <v>0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>
        <v>4</v>
      </c>
      <c r="B80" s="38">
        <v>4</v>
      </c>
      <c r="C80" s="124">
        <v>304</v>
      </c>
      <c r="D80" s="785" t="s">
        <v>3305</v>
      </c>
      <c r="E80" s="114" t="s">
        <v>3328</v>
      </c>
      <c r="F80" s="274">
        <v>32</v>
      </c>
      <c r="G80" s="115" t="s">
        <v>3329</v>
      </c>
      <c r="H80" s="131">
        <f>見積比較!O$9</f>
        <v>14300</v>
      </c>
      <c r="I80" s="101">
        <f t="shared" si="4"/>
        <v>457600</v>
      </c>
      <c r="J80" s="64" t="s">
        <v>3323</v>
      </c>
      <c r="K80" s="65"/>
      <c r="L80" s="66"/>
      <c r="M80" s="525"/>
      <c r="N80" s="520"/>
      <c r="O80" s="227">
        <v>0</v>
      </c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>
        <v>4</v>
      </c>
      <c r="B81" s="38">
        <v>4</v>
      </c>
      <c r="C81" s="124">
        <v>305</v>
      </c>
      <c r="D81" s="785" t="s">
        <v>3305</v>
      </c>
      <c r="E81" s="114" t="s">
        <v>3330</v>
      </c>
      <c r="F81" s="274">
        <v>4</v>
      </c>
      <c r="G81" s="115" t="s">
        <v>3331</v>
      </c>
      <c r="H81" s="131">
        <f>見積比較!O$10</f>
        <v>14300</v>
      </c>
      <c r="I81" s="101">
        <f t="shared" si="4"/>
        <v>57200</v>
      </c>
      <c r="J81" s="64" t="s">
        <v>3332</v>
      </c>
      <c r="K81" s="65"/>
      <c r="L81" s="66"/>
      <c r="M81" s="525"/>
      <c r="N81" s="520"/>
      <c r="O81" s="227">
        <v>0</v>
      </c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265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3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SUM(I75:I92)+I70</f>
        <v>4544720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14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14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2" t="s">
        <v>320</v>
      </c>
      <c r="D95" s="2822"/>
      <c r="E95" s="2822"/>
      <c r="F95" s="2822"/>
      <c r="G95" s="2822"/>
      <c r="H95" s="2822"/>
      <c r="I95" s="2822"/>
      <c r="J95" s="2822"/>
      <c r="K95" s="2822"/>
      <c r="L95" s="2822"/>
      <c r="O95" s="2823" t="s">
        <v>132</v>
      </c>
      <c r="P95" s="2823"/>
      <c r="Q95" s="2823"/>
      <c r="R95" s="2823"/>
      <c r="S95" s="2823"/>
      <c r="T95" s="2823"/>
      <c r="U95" s="2823"/>
      <c r="V95" s="2823"/>
      <c r="W95" s="2823"/>
      <c r="X95" s="2823"/>
      <c r="Y95" s="2823"/>
      <c r="Z95" s="2823"/>
      <c r="AA95" s="2823"/>
      <c r="AB95" s="2823"/>
      <c r="AC95" s="2823"/>
      <c r="AD95" s="2823"/>
      <c r="AE95" s="2823"/>
      <c r="AF95" s="2823"/>
      <c r="AG95" s="2823"/>
      <c r="AH95" s="282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5" t="s">
        <v>6</v>
      </c>
      <c r="K96" s="2826"/>
      <c r="L96" s="2827"/>
      <c r="M96" s="521"/>
      <c r="N96" s="522" t="s">
        <v>378</v>
      </c>
      <c r="O96" s="154" t="s">
        <v>67</v>
      </c>
      <c r="P96" s="386" t="s">
        <v>303</v>
      </c>
      <c r="Q96" s="276" t="s">
        <v>304</v>
      </c>
      <c r="R96" s="276" t="s">
        <v>212</v>
      </c>
      <c r="S96" s="276" t="s">
        <v>213</v>
      </c>
      <c r="T96" s="276" t="s">
        <v>305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312</v>
      </c>
      <c r="AC96" s="458" t="s">
        <v>313</v>
      </c>
      <c r="AD96" s="459" t="s">
        <v>314</v>
      </c>
      <c r="AE96" s="460" t="s">
        <v>128</v>
      </c>
      <c r="AF96" s="152" t="s">
        <v>315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3028</v>
      </c>
      <c r="D97" s="129"/>
      <c r="E97" s="130"/>
      <c r="F97" s="273"/>
      <c r="G97" s="98"/>
      <c r="H97" s="90" t="s">
        <v>11</v>
      </c>
      <c r="I97" s="90" t="s">
        <v>11</v>
      </c>
      <c r="J97" s="2819"/>
      <c r="K97" s="2820"/>
      <c r="L97" s="2821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5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713</v>
      </c>
      <c r="D99" s="2568" t="s">
        <v>3367</v>
      </c>
      <c r="E99" s="2569" t="s">
        <v>3368</v>
      </c>
      <c r="F99" s="2570">
        <v>10</v>
      </c>
      <c r="G99" s="2571" t="s">
        <v>3369</v>
      </c>
      <c r="H99" s="2572">
        <f>見積比較!O$76</f>
        <v>120000</v>
      </c>
      <c r="I99" s="2573">
        <f>IF(F99="","",INT(F99*H99))</f>
        <v>1200000</v>
      </c>
      <c r="J99" s="2574" t="s">
        <v>3370</v>
      </c>
      <c r="K99" s="2575"/>
      <c r="L99" s="2576"/>
      <c r="M99" s="2577"/>
      <c r="N99" s="2578"/>
      <c r="O99" s="2579">
        <v>0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39" customFormat="1" ht="24" customHeight="1">
      <c r="A100" s="38"/>
      <c r="B100" s="38"/>
      <c r="C100" s="124"/>
      <c r="D100" s="125"/>
      <c r="E100" s="114"/>
      <c r="F100" s="274"/>
      <c r="G100" s="115"/>
      <c r="H100" s="131"/>
      <c r="I100" s="101" t="str">
        <f t="shared" si="5"/>
        <v/>
      </c>
      <c r="J100" s="64"/>
      <c r="K100" s="65"/>
      <c r="L100" s="66"/>
      <c r="M100" s="525"/>
      <c r="N100" s="520"/>
      <c r="O100" s="227"/>
      <c r="P100" s="228"/>
      <c r="Q100" s="229"/>
      <c r="R100" s="229"/>
      <c r="S100" s="229"/>
      <c r="T100" s="229"/>
      <c r="U100" s="229"/>
      <c r="V100" s="229"/>
      <c r="W100" s="229"/>
      <c r="X100" s="230"/>
      <c r="Y100" s="230"/>
      <c r="Z100" s="230"/>
      <c r="AA100" s="230"/>
      <c r="AB100" s="230"/>
      <c r="AC100" s="229"/>
      <c r="AD100" s="461"/>
      <c r="AE100" s="462"/>
      <c r="AF100" s="229"/>
      <c r="AG100" s="229"/>
      <c r="AH100" s="213"/>
    </row>
    <row r="101" spans="1:34" s="39" customFormat="1" ht="24" customHeight="1">
      <c r="A101" s="38"/>
      <c r="B101" s="38"/>
      <c r="C101" s="124"/>
      <c r="D101" s="125"/>
      <c r="E101" s="114"/>
      <c r="F101" s="274"/>
      <c r="G101" s="115"/>
      <c r="H101" s="131"/>
      <c r="I101" s="101" t="str">
        <f t="shared" si="5"/>
        <v/>
      </c>
      <c r="J101" s="64"/>
      <c r="K101" s="65"/>
      <c r="L101" s="66"/>
      <c r="M101" s="525"/>
      <c r="N101" s="520"/>
      <c r="O101" s="227"/>
      <c r="P101" s="228"/>
      <c r="Q101" s="229"/>
      <c r="R101" s="229"/>
      <c r="S101" s="229"/>
      <c r="T101" s="229"/>
      <c r="U101" s="229"/>
      <c r="V101" s="229"/>
      <c r="W101" s="229"/>
      <c r="X101" s="230"/>
      <c r="Y101" s="230"/>
      <c r="Z101" s="230"/>
      <c r="AA101" s="230"/>
      <c r="AB101" s="230"/>
      <c r="AC101" s="229"/>
      <c r="AD101" s="461"/>
      <c r="AE101" s="462"/>
      <c r="AF101" s="229"/>
      <c r="AG101" s="229"/>
      <c r="AH101" s="213"/>
    </row>
    <row r="102" spans="1:34" s="39" customFormat="1" ht="24" customHeight="1">
      <c r="A102" s="38"/>
      <c r="B102" s="38"/>
      <c r="C102" s="124"/>
      <c r="D102" s="125"/>
      <c r="E102" s="114"/>
      <c r="F102" s="274"/>
      <c r="G102" s="115"/>
      <c r="H102" s="131"/>
      <c r="I102" s="101" t="str">
        <f t="shared" si="5"/>
        <v/>
      </c>
      <c r="J102" s="64"/>
      <c r="K102" s="65"/>
      <c r="L102" s="66"/>
      <c r="M102" s="525"/>
      <c r="N102" s="520"/>
      <c r="O102" s="227"/>
      <c r="P102" s="228"/>
      <c r="Q102" s="229"/>
      <c r="R102" s="229"/>
      <c r="S102" s="229"/>
      <c r="T102" s="229"/>
      <c r="U102" s="229"/>
      <c r="V102" s="229"/>
      <c r="W102" s="229"/>
      <c r="X102" s="230"/>
      <c r="Y102" s="230"/>
      <c r="Z102" s="230"/>
      <c r="AA102" s="230"/>
      <c r="AB102" s="230"/>
      <c r="AC102" s="229"/>
      <c r="AD102" s="461"/>
      <c r="AE102" s="462"/>
      <c r="AF102" s="229"/>
      <c r="AG102" s="229"/>
      <c r="AH102" s="213"/>
    </row>
    <row r="103" spans="1:34" s="39" customFormat="1" ht="24" customHeight="1">
      <c r="A103" s="38"/>
      <c r="B103" s="38"/>
      <c r="C103" s="124"/>
      <c r="D103" s="125"/>
      <c r="E103" s="114"/>
      <c r="F103" s="274"/>
      <c r="G103" s="115"/>
      <c r="H103" s="131"/>
      <c r="I103" s="101" t="str">
        <f t="shared" si="5"/>
        <v/>
      </c>
      <c r="J103" s="64"/>
      <c r="K103" s="65"/>
      <c r="L103" s="66"/>
      <c r="M103" s="525"/>
      <c r="N103" s="520"/>
      <c r="O103" s="227"/>
      <c r="P103" s="228"/>
      <c r="Q103" s="229"/>
      <c r="R103" s="229"/>
      <c r="S103" s="229"/>
      <c r="T103" s="229"/>
      <c r="U103" s="229"/>
      <c r="V103" s="229"/>
      <c r="W103" s="229"/>
      <c r="X103" s="230"/>
      <c r="Y103" s="230"/>
      <c r="Z103" s="230"/>
      <c r="AA103" s="230"/>
      <c r="AB103" s="230"/>
      <c r="AC103" s="229"/>
      <c r="AD103" s="461"/>
      <c r="AE103" s="462"/>
      <c r="AF103" s="229"/>
      <c r="AG103" s="229"/>
      <c r="AH103" s="213"/>
    </row>
    <row r="104" spans="1:34" s="39" customFormat="1" ht="24" customHeight="1">
      <c r="A104" s="38"/>
      <c r="B104" s="38"/>
      <c r="C104" s="124"/>
      <c r="D104" s="125"/>
      <c r="E104" s="114"/>
      <c r="F104" s="274"/>
      <c r="G104" s="115"/>
      <c r="H104" s="131"/>
      <c r="I104" s="101" t="str">
        <f t="shared" si="5"/>
        <v/>
      </c>
      <c r="J104" s="64"/>
      <c r="K104" s="65"/>
      <c r="L104" s="66"/>
      <c r="M104" s="525"/>
      <c r="N104" s="520"/>
      <c r="O104" s="227"/>
      <c r="P104" s="228"/>
      <c r="Q104" s="229"/>
      <c r="R104" s="229"/>
      <c r="S104" s="229"/>
      <c r="T104" s="229"/>
      <c r="U104" s="229"/>
      <c r="V104" s="229"/>
      <c r="W104" s="229"/>
      <c r="X104" s="230"/>
      <c r="Y104" s="230"/>
      <c r="Z104" s="230"/>
      <c r="AA104" s="230"/>
      <c r="AB104" s="230"/>
      <c r="AC104" s="229"/>
      <c r="AD104" s="461"/>
      <c r="AE104" s="462"/>
      <c r="AF104" s="229"/>
      <c r="AG104" s="229"/>
      <c r="AH104" s="213"/>
    </row>
    <row r="105" spans="1:34" s="39" customFormat="1" ht="24" customHeight="1">
      <c r="A105" s="38"/>
      <c r="B105" s="38"/>
      <c r="C105" s="124"/>
      <c r="D105" s="125"/>
      <c r="E105" s="114"/>
      <c r="F105" s="274"/>
      <c r="G105" s="115"/>
      <c r="H105" s="131"/>
      <c r="I105" s="101" t="str">
        <f t="shared" si="5"/>
        <v/>
      </c>
      <c r="J105" s="64"/>
      <c r="K105" s="65"/>
      <c r="L105" s="66"/>
      <c r="M105" s="525"/>
      <c r="N105" s="520"/>
      <c r="O105" s="227"/>
      <c r="P105" s="228"/>
      <c r="Q105" s="229"/>
      <c r="R105" s="229"/>
      <c r="S105" s="229"/>
      <c r="T105" s="229"/>
      <c r="U105" s="229"/>
      <c r="V105" s="229"/>
      <c r="W105" s="229"/>
      <c r="X105" s="230"/>
      <c r="Y105" s="230"/>
      <c r="Z105" s="230"/>
      <c r="AA105" s="230"/>
      <c r="AB105" s="230"/>
      <c r="AC105" s="229"/>
      <c r="AD105" s="461"/>
      <c r="AE105" s="462"/>
      <c r="AF105" s="229"/>
      <c r="AG105" s="229"/>
      <c r="AH105" s="213"/>
    </row>
    <row r="106" spans="1:34" s="39" customFormat="1" ht="24" customHeight="1">
      <c r="A106" s="38"/>
      <c r="B106" s="38"/>
      <c r="C106" s="124"/>
      <c r="D106" s="125"/>
      <c r="E106" s="114"/>
      <c r="F106" s="274"/>
      <c r="G106" s="115"/>
      <c r="H106" s="131"/>
      <c r="I106" s="101" t="str">
        <f t="shared" si="5"/>
        <v/>
      </c>
      <c r="J106" s="64"/>
      <c r="K106" s="65"/>
      <c r="L106" s="66"/>
      <c r="M106" s="525"/>
      <c r="N106" s="520"/>
      <c r="O106" s="227"/>
      <c r="P106" s="228"/>
      <c r="Q106" s="229"/>
      <c r="R106" s="229"/>
      <c r="S106" s="229"/>
      <c r="T106" s="229"/>
      <c r="U106" s="229"/>
      <c r="V106" s="229"/>
      <c r="W106" s="229"/>
      <c r="X106" s="230"/>
      <c r="Y106" s="230"/>
      <c r="Z106" s="230"/>
      <c r="AA106" s="230"/>
      <c r="AB106" s="230"/>
      <c r="AC106" s="229"/>
      <c r="AD106" s="461"/>
      <c r="AE106" s="462"/>
      <c r="AF106" s="229"/>
      <c r="AG106" s="229"/>
      <c r="AH106" s="213"/>
    </row>
    <row r="107" spans="1:34" s="39" customFormat="1" ht="24" customHeight="1">
      <c r="A107" s="38"/>
      <c r="B107" s="38"/>
      <c r="C107" s="124"/>
      <c r="D107" s="125"/>
      <c r="E107" s="114"/>
      <c r="F107" s="274"/>
      <c r="G107" s="115"/>
      <c r="H107" s="131"/>
      <c r="I107" s="101" t="str">
        <f t="shared" si="5"/>
        <v/>
      </c>
      <c r="J107" s="64"/>
      <c r="K107" s="65"/>
      <c r="L107" s="66"/>
      <c r="M107" s="525"/>
      <c r="N107" s="520"/>
      <c r="O107" s="227"/>
      <c r="P107" s="228"/>
      <c r="Q107" s="229"/>
      <c r="R107" s="229"/>
      <c r="S107" s="229"/>
      <c r="T107" s="229"/>
      <c r="U107" s="229"/>
      <c r="V107" s="229"/>
      <c r="W107" s="229"/>
      <c r="X107" s="230"/>
      <c r="Y107" s="230"/>
      <c r="Z107" s="230"/>
      <c r="AA107" s="230"/>
      <c r="AB107" s="230"/>
      <c r="AC107" s="229"/>
      <c r="AD107" s="461"/>
      <c r="AE107" s="462"/>
      <c r="AF107" s="229"/>
      <c r="AG107" s="229"/>
      <c r="AH107" s="213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 t="str">
        <f t="shared" si="5"/>
        <v/>
      </c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 t="str">
        <f t="shared" si="5"/>
        <v/>
      </c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5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5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5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5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5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5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</f>
        <v>1200000</v>
      </c>
      <c r="J116" s="822" t="str">
        <f>IF(C97="部分撤去工事","）うち費用",")")</f>
        <v>)</v>
      </c>
      <c r="K116" s="821">
        <f>IF(C97="部分撤去工事",(K70+L116),0)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15</v>
      </c>
      <c r="G117" s="122" t="s">
        <v>87</v>
      </c>
      <c r="H117" s="123">
        <f>+H94</f>
        <v>35</v>
      </c>
      <c r="I117" s="123"/>
      <c r="M117" s="33" t="str">
        <f>IF(A119="","EOL","")</f>
        <v>EOL</v>
      </c>
      <c r="N117" s="1">
        <f>+F117</f>
        <v>15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</sheetData>
  <mergeCells count="20">
    <mergeCell ref="J51:L51"/>
    <mergeCell ref="C95:L95"/>
    <mergeCell ref="O95:AH95"/>
    <mergeCell ref="J96:L96"/>
    <mergeCell ref="J97:L97"/>
    <mergeCell ref="C72:L72"/>
    <mergeCell ref="O72:AH72"/>
    <mergeCell ref="J73:L73"/>
    <mergeCell ref="J74:L74"/>
    <mergeCell ref="J27:L27"/>
    <mergeCell ref="J28:L28"/>
    <mergeCell ref="C49:L49"/>
    <mergeCell ref="O49:AG49"/>
    <mergeCell ref="J50:L50"/>
    <mergeCell ref="C3:L3"/>
    <mergeCell ref="O3:AG3"/>
    <mergeCell ref="J4:L4"/>
    <mergeCell ref="J5:L5"/>
    <mergeCell ref="C26:L26"/>
    <mergeCell ref="O26:AG26"/>
  </mergeCells>
  <phoneticPr fontId="2"/>
  <dataValidations count="1">
    <dataValidation type="list" allowBlank="1" showInputMessage="1" showErrorMessage="1" prompt="費用/建物附属設備/工具・器具・備品の場合、選択してください。" sqref="N98:N115 N75:N92 N52:N69" xr:uid="{00000000-0002-0000-07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FF99CC"/>
  </sheetPr>
  <dimension ref="A2:AI94"/>
  <sheetViews>
    <sheetView zoomScale="75" zoomScaleNormal="75" workbookViewId="0">
      <selection activeCell="C3" sqref="C3:L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3410</v>
      </c>
      <c r="E2" s="36" t="s">
        <v>50</v>
      </c>
      <c r="F2" s="39">
        <f>工事2!J2</f>
        <v>15</v>
      </c>
      <c r="G2" s="1" t="s">
        <v>192</v>
      </c>
      <c r="H2" s="4">
        <f>表紙!H25</f>
        <v>35</v>
      </c>
      <c r="I2" s="4" t="s">
        <v>56</v>
      </c>
      <c r="J2" s="39">
        <f>VLOOKUP("EOL",$M$25:$N$65559,2,FALSE)</f>
        <v>19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ア)東梅田駅の部-整列乗車対策工事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3028</v>
      </c>
      <c r="E7" s="99"/>
      <c r="F7" s="274">
        <v>1</v>
      </c>
      <c r="G7" s="115" t="s">
        <v>7</v>
      </c>
      <c r="H7" s="101"/>
      <c r="I7" s="101">
        <f>I70</f>
        <v>93600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3031</v>
      </c>
      <c r="E8" s="99"/>
      <c r="F8" s="274">
        <v>1</v>
      </c>
      <c r="G8" s="115" t="s">
        <v>7</v>
      </c>
      <c r="H8" s="101"/>
      <c r="I8" s="101">
        <f>I93</f>
        <v>4653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98253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1745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+変更諸経費表!K66</f>
        <v>-11739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+変更諸経費表!K74</f>
        <v>491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-9503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88750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+変更諸経費表!K79</f>
        <v>66000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16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16</v>
      </c>
    </row>
    <row r="26" spans="1:35" ht="26.25" customHeight="1" thickBot="1">
      <c r="C26" s="2822" t="s">
        <v>319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30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5" t="s">
        <v>6</v>
      </c>
      <c r="K27" s="2826"/>
      <c r="L27" s="2827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19"/>
      <c r="K28" s="2820"/>
      <c r="L28" s="2821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+変更諸経費表!K21</f>
        <v>62</v>
      </c>
      <c r="I30" s="101">
        <f t="shared" si="0"/>
        <v>62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62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+[2]警備員費按分表!$X$14</f>
        <v>1683</v>
      </c>
      <c r="I42" s="101">
        <f t="shared" si="0"/>
        <v>1683</v>
      </c>
      <c r="J42" s="65" t="s">
        <v>3406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1683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1745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17</v>
      </c>
      <c r="G48" s="122" t="s">
        <v>49</v>
      </c>
      <c r="H48" s="123">
        <f>+$H$25</f>
        <v>35</v>
      </c>
      <c r="I48" s="123"/>
      <c r="M48" s="816" t="str">
        <f>IF(A50="","EOL","")</f>
        <v/>
      </c>
      <c r="N48" s="1">
        <f>+F48</f>
        <v>17</v>
      </c>
      <c r="O48" s="1"/>
      <c r="P48" s="1"/>
    </row>
    <row r="49" spans="1:34" ht="26.25" customHeight="1" thickBot="1">
      <c r="C49" s="2822" t="s">
        <v>319</v>
      </c>
      <c r="D49" s="2822"/>
      <c r="E49" s="2822"/>
      <c r="F49" s="2822"/>
      <c r="G49" s="2822"/>
      <c r="H49" s="2822"/>
      <c r="I49" s="2822"/>
      <c r="J49" s="2822"/>
      <c r="K49" s="2822"/>
      <c r="L49" s="2822"/>
      <c r="O49" s="2828" t="s">
        <v>132</v>
      </c>
      <c r="P49" s="2829"/>
      <c r="Q49" s="2829"/>
      <c r="R49" s="2829"/>
      <c r="S49" s="2829"/>
      <c r="T49" s="2829"/>
      <c r="U49" s="2829"/>
      <c r="V49" s="2829"/>
      <c r="W49" s="2829"/>
      <c r="X49" s="2829"/>
      <c r="Y49" s="2829"/>
      <c r="Z49" s="2829"/>
      <c r="AA49" s="2829"/>
      <c r="AB49" s="2829"/>
      <c r="AC49" s="2829"/>
      <c r="AD49" s="2829"/>
      <c r="AE49" s="2829"/>
      <c r="AF49" s="2829"/>
      <c r="AG49" s="2830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5" t="s">
        <v>6</v>
      </c>
      <c r="K50" s="2826"/>
      <c r="L50" s="2827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3058</v>
      </c>
      <c r="D51" s="96"/>
      <c r="E51" s="97"/>
      <c r="F51" s="273"/>
      <c r="G51" s="132"/>
      <c r="H51" s="91" t="s">
        <v>11</v>
      </c>
      <c r="I51" s="91" t="s">
        <v>11</v>
      </c>
      <c r="J51" s="2819"/>
      <c r="K51" s="2820"/>
      <c r="L51" s="2821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39" customFormat="1" ht="24" customHeight="1">
      <c r="A53" s="38">
        <v>4</v>
      </c>
      <c r="B53" s="38">
        <v>4</v>
      </c>
      <c r="C53" s="124"/>
      <c r="D53" s="785" t="s">
        <v>3393</v>
      </c>
      <c r="E53" s="114" t="s">
        <v>3059</v>
      </c>
      <c r="F53" s="274">
        <v>3</v>
      </c>
      <c r="G53" s="115" t="s">
        <v>3103</v>
      </c>
      <c r="H53" s="131">
        <f>見積比較!O$140</f>
        <v>2000</v>
      </c>
      <c r="I53" s="101">
        <f>IF(F53="","",INT(F53*H53))</f>
        <v>6000</v>
      </c>
      <c r="J53" s="64" t="s">
        <v>3108</v>
      </c>
      <c r="K53" s="65"/>
      <c r="L53" s="66"/>
      <c r="M53" s="2587" t="s">
        <v>3101</v>
      </c>
      <c r="N53" s="520"/>
      <c r="O53" s="227">
        <v>0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2586" customFormat="1" ht="24" customHeight="1">
      <c r="A54" s="2566">
        <v>4</v>
      </c>
      <c r="B54" s="2566">
        <v>4</v>
      </c>
      <c r="C54" s="2567"/>
      <c r="D54" s="2568" t="s">
        <v>3062</v>
      </c>
      <c r="E54" s="2569" t="s">
        <v>3063</v>
      </c>
      <c r="F54" s="2570">
        <v>3</v>
      </c>
      <c r="G54" s="2571" t="s">
        <v>3061</v>
      </c>
      <c r="H54" s="2572">
        <f>見積比較!O$141</f>
        <v>900</v>
      </c>
      <c r="I54" s="101">
        <f>IF(F54="","",INT(F54*H54))</f>
        <v>2700</v>
      </c>
      <c r="J54" s="2574" t="s">
        <v>3109</v>
      </c>
      <c r="K54" s="2575"/>
      <c r="L54" s="2576"/>
      <c r="M54" s="2587" t="s">
        <v>3101</v>
      </c>
      <c r="N54" s="520"/>
      <c r="O54" s="2579">
        <v>0</v>
      </c>
      <c r="P54" s="2580"/>
      <c r="Q54" s="2581"/>
      <c r="R54" s="2581"/>
      <c r="S54" s="2581"/>
      <c r="T54" s="2581"/>
      <c r="U54" s="2581"/>
      <c r="V54" s="2581"/>
      <c r="W54" s="2581"/>
      <c r="X54" s="2582"/>
      <c r="Y54" s="2582"/>
      <c r="Z54" s="2582"/>
      <c r="AA54" s="2582"/>
      <c r="AB54" s="2582"/>
      <c r="AC54" s="2581"/>
      <c r="AD54" s="2583"/>
      <c r="AE54" s="2584"/>
      <c r="AF54" s="2581"/>
      <c r="AG54" s="2581"/>
      <c r="AH54" s="2585"/>
    </row>
    <row r="55" spans="1:34" s="39" customFormat="1" ht="24" customHeight="1">
      <c r="A55" s="38">
        <v>4</v>
      </c>
      <c r="B55" s="38">
        <v>4</v>
      </c>
      <c r="C55" s="124"/>
      <c r="D55" s="785" t="s">
        <v>3104</v>
      </c>
      <c r="E55" s="114" t="s">
        <v>3060</v>
      </c>
      <c r="F55" s="2570">
        <v>4</v>
      </c>
      <c r="G55" s="115" t="s">
        <v>3105</v>
      </c>
      <c r="H55" s="131">
        <f>見積比較!O$142</f>
        <v>2000</v>
      </c>
      <c r="I55" s="101">
        <f>IF(F55="","",INT(F55*H55))</f>
        <v>8000</v>
      </c>
      <c r="J55" s="64" t="s">
        <v>3110</v>
      </c>
      <c r="K55" s="2575"/>
      <c r="L55" s="66"/>
      <c r="M55" s="2587" t="s">
        <v>3101</v>
      </c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4</v>
      </c>
      <c r="B56" s="38">
        <v>4</v>
      </c>
      <c r="C56" s="124"/>
      <c r="D56" s="785" t="s">
        <v>3064</v>
      </c>
      <c r="E56" s="114" t="s">
        <v>3063</v>
      </c>
      <c r="F56" s="2570">
        <v>8</v>
      </c>
      <c r="G56" s="115" t="s">
        <v>3106</v>
      </c>
      <c r="H56" s="131">
        <f>見積比較!O$143</f>
        <v>900</v>
      </c>
      <c r="I56" s="101">
        <f>IF(F56="","",INT(F56*H56))</f>
        <v>7200</v>
      </c>
      <c r="J56" s="64" t="s">
        <v>3111</v>
      </c>
      <c r="K56" s="2575"/>
      <c r="L56" s="66"/>
      <c r="M56" s="2587" t="s">
        <v>3101</v>
      </c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570"/>
      <c r="G57" s="115"/>
      <c r="H57" s="131"/>
      <c r="I57" s="101" t="str">
        <f t="shared" ref="I57:I65" si="1">IF(F57="","",INT(F57*H57))</f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>
        <v>4</v>
      </c>
      <c r="B58" s="38">
        <v>4</v>
      </c>
      <c r="C58" s="124"/>
      <c r="D58" s="785" t="s">
        <v>3065</v>
      </c>
      <c r="E58" s="114" t="s">
        <v>3071</v>
      </c>
      <c r="F58" s="274">
        <v>4</v>
      </c>
      <c r="G58" s="115" t="s">
        <v>3097</v>
      </c>
      <c r="H58" s="131">
        <f>見積比較!O$144</f>
        <v>800</v>
      </c>
      <c r="I58" s="101">
        <f>IF(F58="","",INT(F58*H58))</f>
        <v>3200</v>
      </c>
      <c r="J58" s="64" t="s">
        <v>3112</v>
      </c>
      <c r="K58" s="2575"/>
      <c r="L58" s="66"/>
      <c r="M58" s="2587" t="s">
        <v>3101</v>
      </c>
      <c r="N58" s="520"/>
      <c r="O58" s="227">
        <v>0</v>
      </c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4</v>
      </c>
      <c r="B59" s="38">
        <v>4</v>
      </c>
      <c r="C59" s="124"/>
      <c r="D59" s="785" t="s">
        <v>3067</v>
      </c>
      <c r="E59" s="114" t="s">
        <v>3068</v>
      </c>
      <c r="F59" s="274">
        <v>1</v>
      </c>
      <c r="G59" s="115" t="s">
        <v>3073</v>
      </c>
      <c r="H59" s="131">
        <f>見積比較!O$145</f>
        <v>1800</v>
      </c>
      <c r="I59" s="101">
        <f>IF(F59="","",INT(F59*H59))</f>
        <v>1800</v>
      </c>
      <c r="J59" s="64" t="s">
        <v>3113</v>
      </c>
      <c r="K59" s="2575"/>
      <c r="L59" s="66"/>
      <c r="M59" s="2587" t="s">
        <v>3101</v>
      </c>
      <c r="N59" s="520"/>
      <c r="O59" s="227">
        <v>0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4</v>
      </c>
      <c r="B60" s="38">
        <v>4</v>
      </c>
      <c r="C60" s="124"/>
      <c r="D60" s="785" t="s">
        <v>3072</v>
      </c>
      <c r="E60" s="114" t="s">
        <v>3071</v>
      </c>
      <c r="F60" s="274">
        <v>8</v>
      </c>
      <c r="G60" s="115" t="s">
        <v>3107</v>
      </c>
      <c r="H60" s="131">
        <f>見積比較!O$146</f>
        <v>800</v>
      </c>
      <c r="I60" s="101">
        <f>IF(F60="","",INT(F60*H60))</f>
        <v>6400</v>
      </c>
      <c r="J60" s="64" t="s">
        <v>3114</v>
      </c>
      <c r="K60" s="2575"/>
      <c r="L60" s="66"/>
      <c r="M60" s="2587" t="s">
        <v>3101</v>
      </c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>
        <v>4</v>
      </c>
      <c r="B61" s="38">
        <v>4</v>
      </c>
      <c r="C61" s="124"/>
      <c r="D61" s="785" t="s">
        <v>3070</v>
      </c>
      <c r="E61" s="114" t="s">
        <v>3069</v>
      </c>
      <c r="F61" s="274">
        <v>3</v>
      </c>
      <c r="G61" s="115" t="s">
        <v>3107</v>
      </c>
      <c r="H61" s="131">
        <f>見積比較!O$147</f>
        <v>1800</v>
      </c>
      <c r="I61" s="101">
        <f>IF(F61="","",INT(F61*H61))</f>
        <v>5400</v>
      </c>
      <c r="J61" s="64" t="s">
        <v>3115</v>
      </c>
      <c r="K61" s="2575"/>
      <c r="L61" s="66"/>
      <c r="M61" s="2587" t="s">
        <v>3101</v>
      </c>
      <c r="N61" s="520"/>
      <c r="O61" s="227">
        <v>0</v>
      </c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>
        <v>4</v>
      </c>
      <c r="B63" s="38">
        <v>4</v>
      </c>
      <c r="C63" s="124"/>
      <c r="D63" s="785" t="s">
        <v>3098</v>
      </c>
      <c r="E63" s="114"/>
      <c r="F63" s="274">
        <v>1</v>
      </c>
      <c r="G63" s="115" t="s">
        <v>3099</v>
      </c>
      <c r="H63" s="131">
        <f>見積比較!O$148</f>
        <v>52900</v>
      </c>
      <c r="I63" s="101">
        <f>IF(F63="","",INT(F63*H63))</f>
        <v>52900</v>
      </c>
      <c r="J63" s="64" t="s">
        <v>3116</v>
      </c>
      <c r="K63" s="65"/>
      <c r="L63" s="66"/>
      <c r="M63" s="2587" t="s">
        <v>3101</v>
      </c>
      <c r="N63" s="520"/>
      <c r="O63" s="227">
        <v>0</v>
      </c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ref="I66:I69" si="2">IF(F66="","",INT(F66*H66))</f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4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2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4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2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4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2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93600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18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18</v>
      </c>
      <c r="O71" s="1"/>
      <c r="P71" s="1"/>
    </row>
    <row r="72" spans="1:34" ht="26.25" customHeight="1" thickBot="1">
      <c r="C72" s="2822" t="s">
        <v>320</v>
      </c>
      <c r="D72" s="2822"/>
      <c r="E72" s="2822"/>
      <c r="F72" s="2822"/>
      <c r="G72" s="2822"/>
      <c r="H72" s="2822"/>
      <c r="I72" s="2822"/>
      <c r="J72" s="2822"/>
      <c r="K72" s="2822"/>
      <c r="L72" s="2822"/>
      <c r="O72" s="2823" t="s">
        <v>132</v>
      </c>
      <c r="P72" s="2823"/>
      <c r="Q72" s="2823"/>
      <c r="R72" s="2823"/>
      <c r="S72" s="2823"/>
      <c r="T72" s="2823"/>
      <c r="U72" s="2823"/>
      <c r="V72" s="2823"/>
      <c r="W72" s="2823"/>
      <c r="X72" s="2823"/>
      <c r="Y72" s="2823"/>
      <c r="Z72" s="2823"/>
      <c r="AA72" s="2823"/>
      <c r="AB72" s="2823"/>
      <c r="AC72" s="2823"/>
      <c r="AD72" s="2823"/>
      <c r="AE72" s="2823"/>
      <c r="AF72" s="2823"/>
      <c r="AG72" s="2823"/>
      <c r="AH72" s="282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5" t="s">
        <v>6</v>
      </c>
      <c r="K73" s="2826"/>
      <c r="L73" s="2827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311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316</v>
      </c>
      <c r="AH73" s="152" t="s">
        <v>130</v>
      </c>
    </row>
    <row r="74" spans="1:34" ht="24" customHeight="1">
      <c r="A74" s="38"/>
      <c r="B74" s="38"/>
      <c r="C74" s="128" t="s">
        <v>3031</v>
      </c>
      <c r="D74" s="129"/>
      <c r="E74" s="130"/>
      <c r="F74" s="273"/>
      <c r="G74" s="98"/>
      <c r="H74" s="90" t="s">
        <v>11</v>
      </c>
      <c r="I74" s="90" t="s">
        <v>11</v>
      </c>
      <c r="J74" s="2819"/>
      <c r="K74" s="2820"/>
      <c r="L74" s="2821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/>
      <c r="D76" s="785" t="s">
        <v>3395</v>
      </c>
      <c r="E76" s="114"/>
      <c r="F76" s="274">
        <v>1.2</v>
      </c>
      <c r="G76" s="115" t="s">
        <v>3392</v>
      </c>
      <c r="H76" s="131">
        <v>2440</v>
      </c>
      <c r="I76" s="101">
        <f t="shared" si="3"/>
        <v>2928</v>
      </c>
      <c r="J76" s="64" t="s">
        <v>3401</v>
      </c>
      <c r="K76" s="65"/>
      <c r="L76" s="66"/>
      <c r="M76" s="525"/>
      <c r="N76" s="520"/>
      <c r="O76" s="227"/>
      <c r="P76" s="228"/>
      <c r="Q76" s="229"/>
      <c r="R76" s="229"/>
      <c r="S76" s="229"/>
      <c r="T76" s="229">
        <v>4</v>
      </c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/>
      <c r="D77" s="785" t="s">
        <v>3397</v>
      </c>
      <c r="E77" s="114" t="s">
        <v>3399</v>
      </c>
      <c r="F77" s="274">
        <v>12</v>
      </c>
      <c r="G77" s="115" t="s">
        <v>3400</v>
      </c>
      <c r="H77" s="131">
        <v>90</v>
      </c>
      <c r="I77" s="101">
        <f t="shared" si="3"/>
        <v>1080</v>
      </c>
      <c r="J77" s="64" t="s">
        <v>3402</v>
      </c>
      <c r="K77" s="65"/>
      <c r="L77" s="66"/>
      <c r="M77" s="525"/>
      <c r="N77" s="520"/>
      <c r="O77" s="227"/>
      <c r="P77" s="228"/>
      <c r="Q77" s="229"/>
      <c r="R77" s="229"/>
      <c r="S77" s="229"/>
      <c r="T77" s="229">
        <v>0.39</v>
      </c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31"/>
      <c r="I78" s="101" t="str">
        <f t="shared" si="3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2586" customFormat="1" ht="24" customHeight="1">
      <c r="A79" s="2566"/>
      <c r="B79" s="2566"/>
      <c r="C79" s="2567"/>
      <c r="D79" s="2568"/>
      <c r="E79" s="2569"/>
      <c r="F79" s="2570"/>
      <c r="G79" s="2571"/>
      <c r="H79" s="2572"/>
      <c r="I79" s="101"/>
      <c r="J79" s="2574"/>
      <c r="K79" s="2575"/>
      <c r="L79" s="2576"/>
      <c r="M79" s="2577"/>
      <c r="N79" s="520"/>
      <c r="O79" s="2579"/>
      <c r="P79" s="2580"/>
      <c r="Q79" s="2581"/>
      <c r="R79" s="2581"/>
      <c r="S79" s="2581"/>
      <c r="T79" s="2581"/>
      <c r="U79" s="2581"/>
      <c r="V79" s="2581"/>
      <c r="W79" s="2581"/>
      <c r="X79" s="2582"/>
      <c r="Y79" s="2582"/>
      <c r="Z79" s="2582"/>
      <c r="AA79" s="2582"/>
      <c r="AB79" s="2582"/>
      <c r="AC79" s="2581"/>
      <c r="AD79" s="2583"/>
      <c r="AE79" s="2584"/>
      <c r="AF79" s="2581"/>
      <c r="AG79" s="2581"/>
      <c r="AH79" s="2585"/>
    </row>
    <row r="80" spans="1:34" s="2586" customFormat="1" ht="24" customHeight="1">
      <c r="A80" s="2566">
        <v>4</v>
      </c>
      <c r="B80" s="2566">
        <v>4</v>
      </c>
      <c r="C80" s="2567">
        <v>20061</v>
      </c>
      <c r="D80" s="2568" t="s">
        <v>3206</v>
      </c>
      <c r="E80" s="2569" t="s">
        <v>3217</v>
      </c>
      <c r="F80" s="2570">
        <v>8.9999999999999993E-3</v>
      </c>
      <c r="G80" s="2571" t="s">
        <v>3208</v>
      </c>
      <c r="H80" s="2572">
        <f>10900*L80</f>
        <v>54500</v>
      </c>
      <c r="I80" s="101">
        <f t="shared" si="3"/>
        <v>490</v>
      </c>
      <c r="J80" s="2574" t="s">
        <v>3209</v>
      </c>
      <c r="K80" s="2575"/>
      <c r="L80" s="2576">
        <v>5</v>
      </c>
      <c r="M80" s="2577"/>
      <c r="N80" s="520"/>
      <c r="O80" s="2579">
        <v>0</v>
      </c>
      <c r="P80" s="2580"/>
      <c r="Q80" s="2581"/>
      <c r="R80" s="2581"/>
      <c r="S80" s="2581"/>
      <c r="T80" s="2581"/>
      <c r="U80" s="2581"/>
      <c r="V80" s="2581"/>
      <c r="W80" s="2581"/>
      <c r="X80" s="2582"/>
      <c r="Y80" s="2582"/>
      <c r="Z80" s="2582"/>
      <c r="AA80" s="2582"/>
      <c r="AB80" s="2582"/>
      <c r="AC80" s="2581"/>
      <c r="AD80" s="2583"/>
      <c r="AE80" s="2584"/>
      <c r="AF80" s="2581"/>
      <c r="AG80" s="2581"/>
      <c r="AH80" s="2585"/>
    </row>
    <row r="81" spans="1:34" s="2586" customFormat="1" ht="24" customHeight="1">
      <c r="A81" s="2566">
        <v>4</v>
      </c>
      <c r="B81" s="2566">
        <v>4</v>
      </c>
      <c r="C81" s="2567">
        <v>24020</v>
      </c>
      <c r="D81" s="2568" t="s">
        <v>3221</v>
      </c>
      <c r="E81" s="2569" t="s">
        <v>3222</v>
      </c>
      <c r="F81" s="2570">
        <v>8.9999999999999993E-3</v>
      </c>
      <c r="G81" s="2571" t="s">
        <v>3223</v>
      </c>
      <c r="H81" s="2572">
        <v>4410</v>
      </c>
      <c r="I81" s="2573">
        <f t="shared" si="3"/>
        <v>39</v>
      </c>
      <c r="J81" s="2574"/>
      <c r="K81" s="2575"/>
      <c r="L81" s="2576"/>
      <c r="M81" s="2577"/>
      <c r="N81" s="520"/>
      <c r="O81" s="2579">
        <v>0</v>
      </c>
      <c r="P81" s="2580"/>
      <c r="Q81" s="2581"/>
      <c r="R81" s="2581"/>
      <c r="S81" s="2581"/>
      <c r="T81" s="2581"/>
      <c r="U81" s="2581"/>
      <c r="V81" s="2581"/>
      <c r="W81" s="2581"/>
      <c r="X81" s="2582"/>
      <c r="Y81" s="2582"/>
      <c r="Z81" s="2582"/>
      <c r="AA81" s="2582"/>
      <c r="AB81" s="2582"/>
      <c r="AC81" s="2581"/>
      <c r="AD81" s="2583"/>
      <c r="AE81" s="2584"/>
      <c r="AF81" s="2581"/>
      <c r="AG81" s="2581"/>
      <c r="AH81" s="2585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>
        <v>4</v>
      </c>
      <c r="B83" s="38">
        <v>4</v>
      </c>
      <c r="C83" s="124">
        <v>24008</v>
      </c>
      <c r="D83" s="785" t="s">
        <v>3403</v>
      </c>
      <c r="E83" s="114" t="s">
        <v>3404</v>
      </c>
      <c r="F83" s="2570">
        <v>8.9999999999999993E-3</v>
      </c>
      <c r="G83" s="115" t="s">
        <v>3405</v>
      </c>
      <c r="H83" s="131">
        <v>12900</v>
      </c>
      <c r="I83" s="101">
        <f>IF(F83="","",INT(F83*H83))</f>
        <v>116</v>
      </c>
      <c r="J83" s="64"/>
      <c r="K83" s="65"/>
      <c r="L83" s="66"/>
      <c r="M83" s="525"/>
      <c r="N83" s="520"/>
      <c r="O83" s="227">
        <v>0</v>
      </c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4653</v>
      </c>
      <c r="J93" s="822" t="str">
        <f>IF(C74="部分撤去工事","）うち費用",")")</f>
        <v>）うち費用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19</v>
      </c>
      <c r="G94" s="122" t="s">
        <v>87</v>
      </c>
      <c r="H94" s="123">
        <f>+H71</f>
        <v>35</v>
      </c>
      <c r="I94" s="123"/>
      <c r="M94" s="33" t="str">
        <f>IF(A96="","EOL","")</f>
        <v>EOL</v>
      </c>
      <c r="N94" s="1">
        <f>+F94</f>
        <v>19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</sheetData>
  <mergeCells count="16">
    <mergeCell ref="C72:L72"/>
    <mergeCell ref="O72:AH72"/>
    <mergeCell ref="J73:L73"/>
    <mergeCell ref="J74:L74"/>
    <mergeCell ref="J51:L51"/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" xr:uid="{00000000-0002-0000-08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AE38"/>
  <sheetViews>
    <sheetView topLeftCell="B4" zoomScaleNormal="100" workbookViewId="0">
      <selection activeCell="J26" sqref="J2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工事1!C2</f>
        <v>ア)東梅田駅の部-可動式ホーム柵設置に伴う建築工事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46" t="s">
        <v>291</v>
      </c>
      <c r="H2" s="2847"/>
      <c r="I2" s="2847"/>
      <c r="J2" s="2848"/>
      <c r="K2" s="370">
        <f>+H9+L9</f>
        <v>0</v>
      </c>
      <c r="L2" s="371">
        <f>+I9+M9</f>
        <v>0</v>
      </c>
      <c r="M2" s="371">
        <f>+J9+N9</f>
        <v>140.60000000000002</v>
      </c>
      <c r="N2" s="372">
        <f>+K9+O9</f>
        <v>830.1</v>
      </c>
      <c r="O2" s="2849" t="s">
        <v>268</v>
      </c>
      <c r="P2" s="2850"/>
      <c r="Q2" s="2850"/>
      <c r="R2" s="2851"/>
      <c r="S2" s="370">
        <f>+P9+T9+X9</f>
        <v>0</v>
      </c>
      <c r="T2" s="371">
        <f>+Q9+U9+Y9</f>
        <v>0</v>
      </c>
      <c r="U2" s="371">
        <f>+R9+V9+Z9</f>
        <v>79.2</v>
      </c>
      <c r="V2" s="372">
        <f>+S9+W9+AA9</f>
        <v>-64.400000000000006</v>
      </c>
      <c r="W2" s="373"/>
    </row>
    <row r="3" spans="1:31" ht="15" customHeight="1">
      <c r="B3" s="174"/>
      <c r="E3" s="369"/>
      <c r="G3" s="2852" t="s">
        <v>292</v>
      </c>
      <c r="H3" s="2853"/>
      <c r="I3" s="2853"/>
      <c r="J3" s="2854"/>
      <c r="K3" s="374">
        <f>+H9</f>
        <v>0</v>
      </c>
      <c r="L3" s="375">
        <f>+I9</f>
        <v>0</v>
      </c>
      <c r="M3" s="375">
        <f>+J9</f>
        <v>61.400000000000006</v>
      </c>
      <c r="N3" s="376">
        <f>+K9</f>
        <v>894.5</v>
      </c>
      <c r="O3" s="2855" t="s">
        <v>269</v>
      </c>
      <c r="P3" s="2856"/>
      <c r="Q3" s="2856"/>
      <c r="R3" s="2857"/>
      <c r="S3" s="374">
        <f>+P9</f>
        <v>0</v>
      </c>
      <c r="T3" s="375">
        <f>+Q9</f>
        <v>0</v>
      </c>
      <c r="U3" s="375">
        <f>+R9</f>
        <v>79.2</v>
      </c>
      <c r="V3" s="376">
        <f>+S9</f>
        <v>43.6</v>
      </c>
      <c r="W3" s="373"/>
    </row>
    <row r="4" spans="1:31" ht="15" customHeight="1">
      <c r="B4" s="174"/>
      <c r="E4" s="369"/>
      <c r="G4" s="2852" t="s">
        <v>293</v>
      </c>
      <c r="H4" s="2853"/>
      <c r="I4" s="2853"/>
      <c r="J4" s="2854"/>
      <c r="K4" s="374">
        <f>+L9</f>
        <v>0</v>
      </c>
      <c r="L4" s="375">
        <f>+M9</f>
        <v>0</v>
      </c>
      <c r="M4" s="375">
        <f>+N9</f>
        <v>79.2</v>
      </c>
      <c r="N4" s="376">
        <f>+O9</f>
        <v>-64.400000000000006</v>
      </c>
      <c r="O4" s="2855" t="s">
        <v>270</v>
      </c>
      <c r="P4" s="2856"/>
      <c r="Q4" s="2856"/>
      <c r="R4" s="2857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43"/>
      <c r="H5" s="2844"/>
      <c r="I5" s="2844"/>
      <c r="J5" s="2845"/>
      <c r="K5" s="377"/>
      <c r="L5" s="377"/>
      <c r="M5" s="377"/>
      <c r="N5" s="377"/>
      <c r="O5" s="2843" t="s">
        <v>294</v>
      </c>
      <c r="P5" s="2844"/>
      <c r="Q5" s="2844"/>
      <c r="R5" s="2845"/>
      <c r="S5" s="377">
        <f>X9</f>
        <v>0</v>
      </c>
      <c r="T5" s="377">
        <f>Y9</f>
        <v>0</v>
      </c>
      <c r="U5" s="377">
        <f>Z9</f>
        <v>0</v>
      </c>
      <c r="V5" s="378">
        <f>AA9</f>
        <v>-108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34" t="s">
        <v>263</v>
      </c>
      <c r="I7" s="2835"/>
      <c r="J7" s="2835"/>
      <c r="K7" s="2836"/>
      <c r="L7" s="2834" t="s">
        <v>295</v>
      </c>
      <c r="M7" s="2835"/>
      <c r="N7" s="2835"/>
      <c r="O7" s="2836"/>
      <c r="P7" s="2834" t="s">
        <v>296</v>
      </c>
      <c r="Q7" s="2835"/>
      <c r="R7" s="2835"/>
      <c r="S7" s="2836"/>
      <c r="T7" s="2834" t="s">
        <v>271</v>
      </c>
      <c r="U7" s="2835"/>
      <c r="V7" s="2835"/>
      <c r="W7" s="2836"/>
      <c r="X7" s="2834" t="s">
        <v>297</v>
      </c>
      <c r="Y7" s="2835"/>
      <c r="Z7" s="2835"/>
      <c r="AA7" s="2836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W9" si="0">SUM(H10:H25)</f>
        <v>0</v>
      </c>
      <c r="I9" s="194">
        <f t="shared" si="0"/>
        <v>0</v>
      </c>
      <c r="J9" s="194">
        <f t="shared" si="0"/>
        <v>61.400000000000006</v>
      </c>
      <c r="K9" s="195">
        <f t="shared" si="0"/>
        <v>894.5</v>
      </c>
      <c r="L9" s="193">
        <f t="shared" si="0"/>
        <v>0</v>
      </c>
      <c r="M9" s="194">
        <f t="shared" si="0"/>
        <v>0</v>
      </c>
      <c r="N9" s="194">
        <f t="shared" si="0"/>
        <v>79.2</v>
      </c>
      <c r="O9" s="195">
        <f t="shared" si="0"/>
        <v>-64.400000000000006</v>
      </c>
      <c r="P9" s="193">
        <f t="shared" si="0"/>
        <v>0</v>
      </c>
      <c r="Q9" s="194">
        <f t="shared" si="0"/>
        <v>0</v>
      </c>
      <c r="R9" s="194">
        <f t="shared" si="0"/>
        <v>79.2</v>
      </c>
      <c r="S9" s="195">
        <f t="shared" si="0"/>
        <v>43.6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ref="X9:AA9" si="1">SUM(X10:X25)</f>
        <v>0</v>
      </c>
      <c r="Y9" s="194">
        <f t="shared" si="1"/>
        <v>0</v>
      </c>
      <c r="Z9" s="194">
        <f t="shared" si="1"/>
        <v>0</v>
      </c>
      <c r="AA9" s="195">
        <f t="shared" si="1"/>
        <v>-108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3194</v>
      </c>
      <c r="C11" s="185" t="s">
        <v>3195</v>
      </c>
      <c r="D11" s="186">
        <v>-3</v>
      </c>
      <c r="E11" s="188">
        <v>1</v>
      </c>
      <c r="F11" s="434"/>
      <c r="G11" s="435"/>
      <c r="H11" s="196"/>
      <c r="I11" s="197"/>
      <c r="J11" s="197">
        <f>D11*E11</f>
        <v>-3</v>
      </c>
      <c r="K11" s="198"/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3196</v>
      </c>
      <c r="C12" s="185" t="s">
        <v>3197</v>
      </c>
      <c r="D12" s="186">
        <v>-3</v>
      </c>
      <c r="E12" s="188">
        <v>2</v>
      </c>
      <c r="F12" s="434"/>
      <c r="G12" s="435"/>
      <c r="H12" s="196"/>
      <c r="I12" s="197"/>
      <c r="J12" s="197">
        <f>D12*E12</f>
        <v>-6</v>
      </c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3020</v>
      </c>
      <c r="C13" s="185" t="s">
        <v>3021</v>
      </c>
      <c r="D13" s="186">
        <v>8.8000000000000007</v>
      </c>
      <c r="E13" s="188">
        <v>8</v>
      </c>
      <c r="F13" s="434"/>
      <c r="G13" s="435"/>
      <c r="H13" s="196"/>
      <c r="I13" s="197"/>
      <c r="J13" s="197">
        <f>D13*E13</f>
        <v>70.400000000000006</v>
      </c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B14" s="184" t="s">
        <v>3023</v>
      </c>
      <c r="C14" s="185" t="s">
        <v>3024</v>
      </c>
      <c r="D14" s="186">
        <v>-12</v>
      </c>
      <c r="E14" s="188">
        <v>1</v>
      </c>
      <c r="F14" s="434"/>
      <c r="G14" s="435"/>
      <c r="H14" s="196"/>
      <c r="I14" s="197"/>
      <c r="J14" s="197"/>
      <c r="K14" s="198">
        <f>D14*E14</f>
        <v>-12</v>
      </c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B15" s="184" t="s">
        <v>3023</v>
      </c>
      <c r="C15" s="185" t="s">
        <v>3026</v>
      </c>
      <c r="D15" s="186">
        <v>-12</v>
      </c>
      <c r="E15" s="188">
        <v>7</v>
      </c>
      <c r="F15" s="434"/>
      <c r="G15" s="435"/>
      <c r="H15" s="196"/>
      <c r="I15" s="197"/>
      <c r="J15" s="197"/>
      <c r="K15" s="198">
        <f>D15*E15</f>
        <v>-84</v>
      </c>
      <c r="L15" s="196"/>
      <c r="M15" s="197"/>
      <c r="N15" s="197"/>
      <c r="O15" s="198"/>
      <c r="P15" s="196"/>
      <c r="Q15" s="197"/>
      <c r="R15" s="197"/>
      <c r="S15" s="198"/>
      <c r="T15" s="196"/>
      <c r="U15" s="197"/>
      <c r="V15" s="197"/>
      <c r="W15" s="198"/>
      <c r="X15" s="196"/>
      <c r="Y15" s="197"/>
      <c r="Z15" s="197"/>
      <c r="AA15" s="198"/>
    </row>
    <row r="16" spans="1:31" s="172" customFormat="1" ht="11.25" customHeight="1">
      <c r="B16" s="184" t="s">
        <v>3198</v>
      </c>
      <c r="C16" s="185" t="s">
        <v>3199</v>
      </c>
      <c r="D16" s="186">
        <v>7.5</v>
      </c>
      <c r="E16" s="188">
        <v>1.3</v>
      </c>
      <c r="F16" s="434"/>
      <c r="G16" s="435"/>
      <c r="H16" s="196"/>
      <c r="I16" s="197"/>
      <c r="J16" s="197"/>
      <c r="K16" s="198">
        <f>D16*E16</f>
        <v>9.75</v>
      </c>
      <c r="L16" s="196"/>
      <c r="M16" s="197"/>
      <c r="N16" s="197"/>
      <c r="O16" s="198"/>
      <c r="P16" s="196"/>
      <c r="Q16" s="197"/>
      <c r="R16" s="197"/>
      <c r="S16" s="198"/>
      <c r="T16" s="196"/>
      <c r="U16" s="197"/>
      <c r="V16" s="197"/>
      <c r="W16" s="198"/>
      <c r="X16" s="196"/>
      <c r="Y16" s="197"/>
      <c r="Z16" s="197"/>
      <c r="AA16" s="198"/>
    </row>
    <row r="17" spans="1:27" s="172" customFormat="1" ht="11.25" customHeight="1">
      <c r="B17" s="184" t="s">
        <v>3200</v>
      </c>
      <c r="C17" s="185" t="s">
        <v>3201</v>
      </c>
      <c r="D17" s="186">
        <v>7.5</v>
      </c>
      <c r="E17" s="188">
        <v>0.5</v>
      </c>
      <c r="F17" s="434"/>
      <c r="G17" s="435"/>
      <c r="H17" s="196"/>
      <c r="I17" s="197"/>
      <c r="J17" s="197"/>
      <c r="K17" s="198">
        <f>D17*E17</f>
        <v>3.75</v>
      </c>
      <c r="L17" s="196"/>
      <c r="M17" s="197"/>
      <c r="N17" s="197"/>
      <c r="O17" s="198"/>
      <c r="P17" s="196"/>
      <c r="Q17" s="197"/>
      <c r="R17" s="197"/>
      <c r="S17" s="198"/>
      <c r="T17" s="196"/>
      <c r="U17" s="197"/>
      <c r="V17" s="197"/>
      <c r="W17" s="198"/>
      <c r="X17" s="196"/>
      <c r="Y17" s="197"/>
      <c r="Z17" s="197"/>
      <c r="AA17" s="198"/>
    </row>
    <row r="18" spans="1:27" s="172" customFormat="1" ht="11.25" customHeight="1">
      <c r="B18" s="184" t="s">
        <v>3202</v>
      </c>
      <c r="C18" s="185" t="s">
        <v>3203</v>
      </c>
      <c r="D18" s="186">
        <v>8.8000000000000007</v>
      </c>
      <c r="E18" s="188">
        <v>9</v>
      </c>
      <c r="F18" s="434">
        <v>0</v>
      </c>
      <c r="G18" s="435">
        <v>0</v>
      </c>
      <c r="H18" s="196"/>
      <c r="I18" s="197"/>
      <c r="J18" s="197"/>
      <c r="K18" s="198"/>
      <c r="L18" s="196"/>
      <c r="M18" s="197"/>
      <c r="N18" s="197">
        <f>D18*(E18+F18+G18)</f>
        <v>79.2</v>
      </c>
      <c r="O18" s="198"/>
      <c r="P18" s="196"/>
      <c r="Q18" s="197"/>
      <c r="R18" s="197">
        <f>D18*E18</f>
        <v>79.2</v>
      </c>
      <c r="S18" s="198"/>
      <c r="T18" s="196"/>
      <c r="U18" s="197"/>
      <c r="V18" s="197">
        <f>D18*F18</f>
        <v>0</v>
      </c>
      <c r="W18" s="198"/>
      <c r="X18" s="196"/>
      <c r="Y18" s="197"/>
      <c r="Z18" s="197">
        <f>D18*G18</f>
        <v>0</v>
      </c>
      <c r="AA18" s="198"/>
    </row>
    <row r="19" spans="1:27" s="172" customFormat="1" ht="11.25" customHeight="1">
      <c r="B19" s="184" t="s">
        <v>3202</v>
      </c>
      <c r="C19" s="185" t="s">
        <v>3203</v>
      </c>
      <c r="D19" s="186">
        <v>-12</v>
      </c>
      <c r="E19" s="188">
        <v>0</v>
      </c>
      <c r="F19" s="434">
        <v>0</v>
      </c>
      <c r="G19" s="435">
        <v>9</v>
      </c>
      <c r="H19" s="196"/>
      <c r="I19" s="197"/>
      <c r="J19" s="197"/>
      <c r="K19" s="198"/>
      <c r="L19" s="196"/>
      <c r="M19" s="197"/>
      <c r="N19" s="197"/>
      <c r="O19" s="198">
        <f>D19*(E19+F19+G19)</f>
        <v>-108</v>
      </c>
      <c r="P19" s="196"/>
      <c r="Q19" s="197"/>
      <c r="R19" s="197"/>
      <c r="S19" s="198">
        <f>D19*E19</f>
        <v>0</v>
      </c>
      <c r="T19" s="196"/>
      <c r="U19" s="197"/>
      <c r="V19" s="197"/>
      <c r="W19" s="198">
        <f>D19*F19</f>
        <v>0</v>
      </c>
      <c r="X19" s="196"/>
      <c r="Y19" s="197"/>
      <c r="Z19" s="197"/>
      <c r="AA19" s="198">
        <f>D19*G19</f>
        <v>-108</v>
      </c>
    </row>
    <row r="20" spans="1:27" s="172" customFormat="1" ht="11.25" customHeight="1">
      <c r="B20" s="184" t="s">
        <v>3031</v>
      </c>
      <c r="C20" s="185" t="s">
        <v>3204</v>
      </c>
      <c r="D20" s="186">
        <v>10.9</v>
      </c>
      <c r="E20" s="188">
        <v>4</v>
      </c>
      <c r="F20" s="434">
        <v>0</v>
      </c>
      <c r="G20" s="435">
        <v>0</v>
      </c>
      <c r="H20" s="196"/>
      <c r="I20" s="197"/>
      <c r="J20" s="197"/>
      <c r="K20" s="198"/>
      <c r="L20" s="196"/>
      <c r="M20" s="197"/>
      <c r="N20" s="197"/>
      <c r="O20" s="198">
        <f>D20*(E20+F20+G20)</f>
        <v>43.6</v>
      </c>
      <c r="P20" s="196"/>
      <c r="Q20" s="197"/>
      <c r="R20" s="197"/>
      <c r="S20" s="198">
        <f>D20*E20</f>
        <v>43.6</v>
      </c>
      <c r="T20" s="196"/>
      <c r="U20" s="197"/>
      <c r="V20" s="197"/>
      <c r="W20" s="198">
        <f>D20*F20</f>
        <v>0</v>
      </c>
      <c r="X20" s="196"/>
      <c r="Y20" s="197"/>
      <c r="Z20" s="197"/>
      <c r="AA20" s="198">
        <f>D20*G20</f>
        <v>0</v>
      </c>
    </row>
    <row r="21" spans="1:27" s="172" customFormat="1" ht="11.25" customHeight="1">
      <c r="B21" s="184" t="s">
        <v>3031</v>
      </c>
      <c r="C21" s="185" t="s">
        <v>3204</v>
      </c>
      <c r="D21" s="186">
        <v>10.9</v>
      </c>
      <c r="E21" s="188">
        <v>9</v>
      </c>
      <c r="F21" s="434"/>
      <c r="G21" s="435"/>
      <c r="H21" s="196"/>
      <c r="I21" s="197"/>
      <c r="J21" s="197"/>
      <c r="K21" s="198">
        <f>D21*E21</f>
        <v>98.100000000000009</v>
      </c>
      <c r="L21" s="196"/>
      <c r="M21" s="197"/>
      <c r="N21" s="197"/>
      <c r="O21" s="198"/>
      <c r="P21" s="196"/>
      <c r="Q21" s="197"/>
      <c r="R21" s="197"/>
      <c r="S21" s="198"/>
      <c r="T21" s="196"/>
      <c r="U21" s="197"/>
      <c r="V21" s="197"/>
      <c r="W21" s="198"/>
      <c r="X21" s="196"/>
      <c r="Y21" s="197"/>
      <c r="Z21" s="197"/>
      <c r="AA21" s="198"/>
    </row>
    <row r="22" spans="1:27" s="172" customFormat="1" ht="11.25" customHeight="1">
      <c r="B22" s="184" t="s">
        <v>3031</v>
      </c>
      <c r="C22" s="185" t="s">
        <v>3205</v>
      </c>
      <c r="D22" s="186">
        <v>18.7</v>
      </c>
      <c r="E22" s="188">
        <v>47</v>
      </c>
      <c r="F22" s="434"/>
      <c r="G22" s="435"/>
      <c r="H22" s="196"/>
      <c r="I22" s="197"/>
      <c r="J22" s="197"/>
      <c r="K22" s="198">
        <f>D22*E22</f>
        <v>878.9</v>
      </c>
      <c r="L22" s="196"/>
      <c r="M22" s="197"/>
      <c r="N22" s="197"/>
      <c r="O22" s="198"/>
      <c r="P22" s="196"/>
      <c r="Q22" s="197"/>
      <c r="R22" s="197"/>
      <c r="S22" s="198"/>
      <c r="T22" s="196"/>
      <c r="U22" s="197"/>
      <c r="V22" s="197"/>
      <c r="W22" s="198"/>
      <c r="X22" s="196"/>
      <c r="Y22" s="197"/>
      <c r="Z22" s="197"/>
      <c r="AA22" s="198"/>
    </row>
    <row r="23" spans="1:27" s="172" customFormat="1" ht="11.25" customHeight="1">
      <c r="B23" s="184"/>
      <c r="C23" s="185"/>
      <c r="D23" s="186"/>
      <c r="E23" s="188"/>
      <c r="F23" s="434"/>
      <c r="G23" s="435"/>
      <c r="H23" s="196"/>
      <c r="I23" s="197"/>
      <c r="J23" s="197"/>
      <c r="K23" s="198"/>
      <c r="L23" s="196"/>
      <c r="M23" s="197"/>
      <c r="N23" s="197"/>
      <c r="O23" s="198"/>
      <c r="P23" s="196"/>
      <c r="Q23" s="197"/>
      <c r="R23" s="197"/>
      <c r="S23" s="198"/>
      <c r="T23" s="196"/>
      <c r="U23" s="197"/>
      <c r="V23" s="197"/>
      <c r="W23" s="198"/>
      <c r="X23" s="196"/>
      <c r="Y23" s="197"/>
      <c r="Z23" s="197"/>
      <c r="AA23" s="198"/>
    </row>
    <row r="24" spans="1:27" s="172" customFormat="1" ht="11.25" customHeight="1">
      <c r="A24" s="159" t="s">
        <v>301</v>
      </c>
      <c r="B24" s="178"/>
      <c r="C24" s="179"/>
      <c r="D24" s="180"/>
      <c r="E24" s="189"/>
      <c r="F24" s="436"/>
      <c r="G24" s="437"/>
      <c r="H24" s="199">
        <f>D24*E24</f>
        <v>0</v>
      </c>
      <c r="I24" s="200"/>
      <c r="J24" s="200"/>
      <c r="K24" s="201"/>
      <c r="L24" s="199"/>
      <c r="M24" s="200"/>
      <c r="N24" s="200"/>
      <c r="O24" s="201"/>
      <c r="P24" s="199"/>
      <c r="Q24" s="200"/>
      <c r="R24" s="200"/>
      <c r="S24" s="201"/>
      <c r="T24" s="199"/>
      <c r="U24" s="200"/>
      <c r="V24" s="200"/>
      <c r="W24" s="201"/>
      <c r="X24" s="199"/>
      <c r="Y24" s="200"/>
      <c r="Z24" s="200"/>
      <c r="AA24" s="201"/>
    </row>
    <row r="25" spans="1:27">
      <c r="A25" s="81"/>
      <c r="B25" s="176"/>
      <c r="C25" s="177"/>
      <c r="D25" s="183"/>
      <c r="E25" s="190"/>
      <c r="F25" s="438"/>
      <c r="G25" s="439"/>
      <c r="H25" s="202"/>
      <c r="I25" s="203"/>
      <c r="J25" s="203"/>
      <c r="K25" s="204"/>
      <c r="L25" s="202"/>
      <c r="M25" s="203"/>
      <c r="N25" s="203"/>
      <c r="O25" s="204"/>
      <c r="P25" s="202"/>
      <c r="Q25" s="203"/>
      <c r="R25" s="203"/>
      <c r="S25" s="204"/>
      <c r="T25" s="202"/>
      <c r="U25" s="203"/>
      <c r="V25" s="203"/>
      <c r="W25" s="204"/>
      <c r="X25" s="202"/>
      <c r="Y25" s="203"/>
      <c r="Z25" s="203"/>
      <c r="AA25" s="204"/>
    </row>
    <row r="26" spans="1:27" ht="14">
      <c r="B26" s="175" t="s">
        <v>140</v>
      </c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27" ht="15" customHeight="1">
      <c r="B27" s="166" t="s">
        <v>138</v>
      </c>
      <c r="C27" s="167"/>
      <c r="D27" s="168"/>
      <c r="E27" s="2837" t="s">
        <v>127</v>
      </c>
      <c r="F27" s="2838"/>
      <c r="G27" s="2838"/>
      <c r="H27" s="2838"/>
      <c r="I27" s="2838"/>
      <c r="J27" s="2838"/>
      <c r="K27" s="2838"/>
      <c r="L27" s="2838"/>
      <c r="M27" s="2838"/>
      <c r="N27" s="2838"/>
      <c r="O27" s="2838"/>
      <c r="P27" s="2838"/>
      <c r="Q27" s="2838"/>
      <c r="R27" s="2839"/>
      <c r="S27" s="2840"/>
      <c r="T27" s="2834" t="s">
        <v>302</v>
      </c>
      <c r="U27" s="2841"/>
      <c r="V27" s="2841"/>
      <c r="W27" s="2842"/>
    </row>
    <row r="28" spans="1:27" ht="13.5" customHeight="1">
      <c r="B28" s="233"/>
      <c r="C28" s="234"/>
      <c r="D28" s="235"/>
      <c r="E28" s="277" t="s">
        <v>303</v>
      </c>
      <c r="F28" s="278" t="s">
        <v>304</v>
      </c>
      <c r="G28" s="278" t="s">
        <v>211</v>
      </c>
      <c r="H28" s="278" t="s">
        <v>211</v>
      </c>
      <c r="I28" s="278" t="s">
        <v>305</v>
      </c>
      <c r="J28" s="279" t="s">
        <v>306</v>
      </c>
      <c r="K28" s="281" t="s">
        <v>221</v>
      </c>
      <c r="L28" s="278" t="s">
        <v>123</v>
      </c>
      <c r="M28" s="278" t="s">
        <v>222</v>
      </c>
      <c r="N28" s="278" t="s">
        <v>307</v>
      </c>
      <c r="O28" s="282" t="s">
        <v>223</v>
      </c>
      <c r="P28" s="283" t="s">
        <v>225</v>
      </c>
      <c r="Q28" s="440" t="s">
        <v>122</v>
      </c>
      <c r="R28" s="441" t="s">
        <v>214</v>
      </c>
      <c r="S28" s="442" t="s">
        <v>215</v>
      </c>
      <c r="T28" s="443" t="s">
        <v>128</v>
      </c>
      <c r="U28" s="278" t="s">
        <v>131</v>
      </c>
      <c r="V28" s="441" t="s">
        <v>308</v>
      </c>
      <c r="W28" s="442" t="s">
        <v>130</v>
      </c>
    </row>
    <row r="29" spans="1:27" ht="12.75" customHeight="1">
      <c r="B29" s="165" t="s">
        <v>67</v>
      </c>
      <c r="C29" s="146" t="s">
        <v>68</v>
      </c>
      <c r="D29" s="161" t="s">
        <v>21</v>
      </c>
      <c r="E29" s="358"/>
      <c r="F29" s="280"/>
      <c r="G29" s="280" t="s">
        <v>218</v>
      </c>
      <c r="H29" s="280" t="s">
        <v>219</v>
      </c>
      <c r="I29" s="280"/>
      <c r="J29" s="280" t="s">
        <v>220</v>
      </c>
      <c r="K29" s="280" t="s">
        <v>309</v>
      </c>
      <c r="L29" s="280"/>
      <c r="M29" s="280" t="s">
        <v>272</v>
      </c>
      <c r="N29" s="280" t="s">
        <v>273</v>
      </c>
      <c r="O29" s="280" t="s">
        <v>224</v>
      </c>
      <c r="P29" s="280" t="s">
        <v>226</v>
      </c>
      <c r="Q29" s="444" t="s">
        <v>274</v>
      </c>
      <c r="R29" s="235" t="s">
        <v>310</v>
      </c>
      <c r="S29" s="445" t="s">
        <v>310</v>
      </c>
      <c r="T29" s="446"/>
      <c r="U29" s="234"/>
      <c r="V29" s="447"/>
      <c r="W29" s="445"/>
    </row>
    <row r="30" spans="1:27" s="172" customFormat="1">
      <c r="A30" s="169"/>
      <c r="B30" s="170"/>
      <c r="C30" s="171"/>
      <c r="D30" s="173"/>
      <c r="E30" s="193">
        <f t="shared" ref="E30:W30" si="2">SUM(E31:E41)</f>
        <v>0</v>
      </c>
      <c r="F30" s="194">
        <f t="shared" si="2"/>
        <v>0</v>
      </c>
      <c r="G30" s="194">
        <f t="shared" si="2"/>
        <v>43.6</v>
      </c>
      <c r="H30" s="194">
        <f t="shared" si="2"/>
        <v>0</v>
      </c>
      <c r="I30" s="194">
        <f t="shared" si="2"/>
        <v>0</v>
      </c>
      <c r="J30" s="194">
        <f t="shared" si="2"/>
        <v>0</v>
      </c>
      <c r="K30" s="194">
        <f t="shared" si="2"/>
        <v>0</v>
      </c>
      <c r="L30" s="194">
        <f t="shared" si="2"/>
        <v>0</v>
      </c>
      <c r="M30" s="194">
        <f>SUM(M31:M41)</f>
        <v>79.2</v>
      </c>
      <c r="N30" s="194">
        <f t="shared" si="2"/>
        <v>0</v>
      </c>
      <c r="O30" s="286">
        <f t="shared" si="2"/>
        <v>0</v>
      </c>
      <c r="P30" s="194">
        <f t="shared" si="2"/>
        <v>0</v>
      </c>
      <c r="Q30" s="448">
        <f t="shared" si="2"/>
        <v>0</v>
      </c>
      <c r="R30" s="194">
        <f t="shared" si="2"/>
        <v>0</v>
      </c>
      <c r="S30" s="195">
        <f t="shared" si="2"/>
        <v>-108</v>
      </c>
      <c r="T30" s="449">
        <f t="shared" si="2"/>
        <v>0</v>
      </c>
      <c r="U30" s="194">
        <f t="shared" si="2"/>
        <v>0</v>
      </c>
      <c r="V30" s="448">
        <f t="shared" si="2"/>
        <v>0</v>
      </c>
      <c r="W30" s="195">
        <f t="shared" si="2"/>
        <v>0</v>
      </c>
    </row>
    <row r="31" spans="1:27" s="172" customFormat="1" ht="11.25" customHeight="1">
      <c r="B31" s="178"/>
      <c r="C31" s="179"/>
      <c r="D31" s="180"/>
      <c r="E31" s="199"/>
      <c r="F31" s="200"/>
      <c r="G31" s="200"/>
      <c r="H31" s="200"/>
      <c r="I31" s="200"/>
      <c r="J31" s="200"/>
      <c r="K31" s="200"/>
      <c r="L31" s="200"/>
      <c r="M31" s="200"/>
      <c r="N31" s="200"/>
      <c r="O31" s="284"/>
      <c r="P31" s="200"/>
      <c r="Q31" s="450"/>
      <c r="R31" s="200"/>
      <c r="S31" s="201"/>
      <c r="T31" s="451"/>
      <c r="U31" s="200"/>
      <c r="V31" s="450"/>
      <c r="W31" s="452"/>
    </row>
    <row r="32" spans="1:27" s="172" customFormat="1" ht="11.25" customHeight="1">
      <c r="B32" s="178" t="s">
        <v>3202</v>
      </c>
      <c r="C32" s="179" t="s">
        <v>3203</v>
      </c>
      <c r="D32" s="180">
        <v>8.8000000000000007</v>
      </c>
      <c r="E32" s="199"/>
      <c r="F32" s="200"/>
      <c r="G32" s="200"/>
      <c r="H32" s="200"/>
      <c r="I32" s="200"/>
      <c r="J32" s="200"/>
      <c r="K32" s="200"/>
      <c r="L32" s="200"/>
      <c r="M32" s="200">
        <f>D32*9</f>
        <v>79.2</v>
      </c>
      <c r="N32" s="200"/>
      <c r="O32" s="284"/>
      <c r="P32" s="200"/>
      <c r="Q32" s="450"/>
      <c r="R32" s="200"/>
      <c r="S32" s="201"/>
      <c r="T32" s="451"/>
      <c r="U32" s="200"/>
      <c r="V32" s="450"/>
      <c r="W32" s="452"/>
    </row>
    <row r="33" spans="1:23" s="172" customFormat="1" ht="11.25" customHeight="1">
      <c r="B33" s="178" t="s">
        <v>3202</v>
      </c>
      <c r="C33" s="179" t="s">
        <v>3203</v>
      </c>
      <c r="D33" s="180">
        <v>-12</v>
      </c>
      <c r="E33" s="199"/>
      <c r="F33" s="200"/>
      <c r="G33" s="200"/>
      <c r="H33" s="200"/>
      <c r="I33" s="200"/>
      <c r="J33" s="200"/>
      <c r="K33" s="200"/>
      <c r="L33" s="200"/>
      <c r="M33" s="200"/>
      <c r="N33" s="200"/>
      <c r="O33" s="284"/>
      <c r="P33" s="200"/>
      <c r="Q33" s="450"/>
      <c r="R33" s="200"/>
      <c r="S33" s="201">
        <f>D33*9</f>
        <v>-108</v>
      </c>
      <c r="T33" s="451"/>
      <c r="U33" s="200"/>
      <c r="V33" s="450"/>
      <c r="W33" s="452"/>
    </row>
    <row r="34" spans="1:23" s="172" customFormat="1" ht="11.25" customHeight="1">
      <c r="B34" s="178" t="s">
        <v>3031</v>
      </c>
      <c r="C34" s="179" t="s">
        <v>3204</v>
      </c>
      <c r="D34" s="180">
        <v>10.9</v>
      </c>
      <c r="E34" s="199"/>
      <c r="F34" s="200"/>
      <c r="G34" s="200">
        <f>D34*4</f>
        <v>43.6</v>
      </c>
      <c r="H34" s="200"/>
      <c r="I34" s="200"/>
      <c r="J34" s="200"/>
      <c r="K34" s="200"/>
      <c r="L34" s="200"/>
      <c r="M34" s="200"/>
      <c r="N34" s="200"/>
      <c r="O34" s="284"/>
      <c r="P34" s="200"/>
      <c r="Q34" s="450"/>
      <c r="R34" s="200"/>
      <c r="S34" s="201"/>
      <c r="T34" s="451"/>
      <c r="U34" s="200"/>
      <c r="V34" s="450"/>
      <c r="W34" s="452"/>
    </row>
    <row r="35" spans="1:23" s="172" customFormat="1" ht="11.25" customHeight="1">
      <c r="B35" s="178"/>
      <c r="C35" s="179"/>
      <c r="D35" s="180"/>
      <c r="E35" s="199"/>
      <c r="F35" s="200"/>
      <c r="G35" s="200"/>
      <c r="H35" s="200"/>
      <c r="I35" s="200"/>
      <c r="J35" s="200"/>
      <c r="K35" s="200"/>
      <c r="L35" s="200"/>
      <c r="M35" s="200"/>
      <c r="N35" s="200"/>
      <c r="O35" s="284"/>
      <c r="P35" s="200"/>
      <c r="Q35" s="450"/>
      <c r="R35" s="200"/>
      <c r="S35" s="201"/>
      <c r="T35" s="451"/>
      <c r="U35" s="200"/>
      <c r="V35" s="450"/>
      <c r="W35" s="452"/>
    </row>
    <row r="36" spans="1:23" s="172" customFormat="1" ht="11.25" customHeight="1">
      <c r="A36" s="159" t="s">
        <v>275</v>
      </c>
      <c r="B36" s="178"/>
      <c r="C36" s="179"/>
      <c r="D36" s="180"/>
      <c r="E36" s="199"/>
      <c r="F36" s="200"/>
      <c r="G36" s="200"/>
      <c r="H36" s="200"/>
      <c r="I36" s="200"/>
      <c r="J36" s="200"/>
      <c r="K36" s="200"/>
      <c r="L36" s="200"/>
      <c r="M36" s="200"/>
      <c r="N36" s="200"/>
      <c r="O36" s="284"/>
      <c r="P36" s="200"/>
      <c r="Q36" s="450"/>
      <c r="R36" s="200"/>
      <c r="S36" s="201"/>
      <c r="T36" s="451"/>
      <c r="U36" s="200">
        <f>$D36*O36</f>
        <v>0</v>
      </c>
      <c r="V36" s="450">
        <f>$D36*P36</f>
        <v>0</v>
      </c>
      <c r="W36" s="453"/>
    </row>
    <row r="37" spans="1:23">
      <c r="A37" s="81"/>
      <c r="B37" s="176"/>
      <c r="C37" s="177"/>
      <c r="D37" s="183"/>
      <c r="E37" s="202"/>
      <c r="F37" s="203"/>
      <c r="G37" s="203"/>
      <c r="H37" s="285"/>
      <c r="I37" s="285"/>
      <c r="J37" s="285"/>
      <c r="K37" s="285"/>
      <c r="L37" s="285"/>
      <c r="M37" s="285"/>
      <c r="N37" s="285"/>
      <c r="O37" s="285"/>
      <c r="P37" s="285"/>
      <c r="Q37" s="454"/>
      <c r="R37" s="203"/>
      <c r="S37" s="204"/>
      <c r="T37" s="455"/>
      <c r="U37" s="203">
        <f>$D37*O37</f>
        <v>0</v>
      </c>
      <c r="V37" s="456">
        <f>$D37*P37</f>
        <v>0</v>
      </c>
      <c r="W37" s="457"/>
    </row>
    <row r="38" spans="1:23">
      <c r="E38" s="81"/>
    </row>
  </sheetData>
  <mergeCells count="15">
    <mergeCell ref="G2:J2"/>
    <mergeCell ref="O2:R2"/>
    <mergeCell ref="G3:J3"/>
    <mergeCell ref="O3:R3"/>
    <mergeCell ref="G4:J4"/>
    <mergeCell ref="O4:R4"/>
    <mergeCell ref="X7:AA7"/>
    <mergeCell ref="E27:S27"/>
    <mergeCell ref="T27:W27"/>
    <mergeCell ref="G5:J5"/>
    <mergeCell ref="O5:R5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AE27"/>
  <sheetViews>
    <sheetView topLeftCell="B1" zoomScaleNormal="100" workbookViewId="0">
      <selection activeCell="B25" sqref="B25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工事3!C2</f>
        <v>ア)東梅田駅の部-整列乗車対策工事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46" t="s">
        <v>291</v>
      </c>
      <c r="H2" s="2847"/>
      <c r="I2" s="2847"/>
      <c r="J2" s="2848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9.48</v>
      </c>
      <c r="O2" s="2849" t="s">
        <v>268</v>
      </c>
      <c r="P2" s="2850"/>
      <c r="Q2" s="2850"/>
      <c r="R2" s="2851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9.48</v>
      </c>
      <c r="W2" s="373"/>
    </row>
    <row r="3" spans="1:31" ht="15" customHeight="1">
      <c r="B3" s="174"/>
      <c r="E3" s="369"/>
      <c r="G3" s="2852" t="s">
        <v>292</v>
      </c>
      <c r="H3" s="2853"/>
      <c r="I3" s="2853"/>
      <c r="J3" s="2854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855" t="s">
        <v>269</v>
      </c>
      <c r="P3" s="2856"/>
      <c r="Q3" s="2856"/>
      <c r="R3" s="2857"/>
      <c r="S3" s="374">
        <f>+P9</f>
        <v>0</v>
      </c>
      <c r="T3" s="375">
        <f>+Q9</f>
        <v>0</v>
      </c>
      <c r="U3" s="375">
        <f>+R9</f>
        <v>0</v>
      </c>
      <c r="V3" s="376">
        <f>+S9</f>
        <v>9.48</v>
      </c>
      <c r="W3" s="373"/>
    </row>
    <row r="4" spans="1:31" ht="15" customHeight="1">
      <c r="B4" s="174"/>
      <c r="E4" s="369"/>
      <c r="G4" s="2852" t="s">
        <v>293</v>
      </c>
      <c r="H4" s="2853"/>
      <c r="I4" s="2853"/>
      <c r="J4" s="2854"/>
      <c r="K4" s="374">
        <f>+L9</f>
        <v>0</v>
      </c>
      <c r="L4" s="375">
        <f>+M9</f>
        <v>0</v>
      </c>
      <c r="M4" s="375">
        <f>+N9</f>
        <v>0</v>
      </c>
      <c r="N4" s="376">
        <f>+O9</f>
        <v>9.48</v>
      </c>
      <c r="O4" s="2855" t="s">
        <v>270</v>
      </c>
      <c r="P4" s="2856"/>
      <c r="Q4" s="2856"/>
      <c r="R4" s="2857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43"/>
      <c r="H5" s="2844"/>
      <c r="I5" s="2844"/>
      <c r="J5" s="2845"/>
      <c r="K5" s="377"/>
      <c r="L5" s="377"/>
      <c r="M5" s="377"/>
      <c r="N5" s="377"/>
      <c r="O5" s="2843" t="s">
        <v>294</v>
      </c>
      <c r="P5" s="2844"/>
      <c r="Q5" s="2844"/>
      <c r="R5" s="2845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34" t="s">
        <v>263</v>
      </c>
      <c r="I7" s="2835"/>
      <c r="J7" s="2835"/>
      <c r="K7" s="2836"/>
      <c r="L7" s="2834" t="s">
        <v>295</v>
      </c>
      <c r="M7" s="2835"/>
      <c r="N7" s="2835"/>
      <c r="O7" s="2836"/>
      <c r="P7" s="2834" t="s">
        <v>296</v>
      </c>
      <c r="Q7" s="2835"/>
      <c r="R7" s="2835"/>
      <c r="S7" s="2836"/>
      <c r="T7" s="2834" t="s">
        <v>271</v>
      </c>
      <c r="U7" s="2835"/>
      <c r="V7" s="2835"/>
      <c r="W7" s="2836"/>
      <c r="X7" s="2834" t="s">
        <v>297</v>
      </c>
      <c r="Y7" s="2835"/>
      <c r="Z7" s="2835"/>
      <c r="AA7" s="2836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SUM(H10:H15)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9.48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9.48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3394</v>
      </c>
      <c r="C11" s="185"/>
      <c r="D11" s="186">
        <v>1.2</v>
      </c>
      <c r="E11" s="188">
        <v>4</v>
      </c>
      <c r="F11" s="434">
        <v>0</v>
      </c>
      <c r="G11" s="435">
        <v>0</v>
      </c>
      <c r="H11" s="196"/>
      <c r="I11" s="197"/>
      <c r="J11" s="197"/>
      <c r="K11" s="198"/>
      <c r="L11" s="196"/>
      <c r="M11" s="197"/>
      <c r="N11" s="197"/>
      <c r="O11" s="198">
        <f>D11*(E11+F11+G11)</f>
        <v>4.8</v>
      </c>
      <c r="P11" s="196"/>
      <c r="Q11" s="197"/>
      <c r="R11" s="197"/>
      <c r="S11" s="198">
        <f>D11*E11</f>
        <v>4.8</v>
      </c>
      <c r="T11" s="196"/>
      <c r="U11" s="197"/>
      <c r="V11" s="197"/>
      <c r="W11" s="198">
        <f>D11*F11</f>
        <v>0</v>
      </c>
      <c r="X11" s="196"/>
      <c r="Y11" s="197"/>
      <c r="Z11" s="197"/>
      <c r="AA11" s="198">
        <f>D11*G11</f>
        <v>0</v>
      </c>
    </row>
    <row r="12" spans="1:31" s="172" customFormat="1" ht="11.25" customHeight="1">
      <c r="B12" s="184" t="s">
        <v>3396</v>
      </c>
      <c r="C12" s="185" t="s">
        <v>3398</v>
      </c>
      <c r="D12" s="186">
        <v>12</v>
      </c>
      <c r="E12" s="188">
        <v>0.39</v>
      </c>
      <c r="F12" s="434">
        <v>0</v>
      </c>
      <c r="G12" s="435">
        <v>0</v>
      </c>
      <c r="H12" s="196"/>
      <c r="I12" s="197"/>
      <c r="J12" s="197"/>
      <c r="K12" s="198"/>
      <c r="L12" s="196"/>
      <c r="M12" s="197"/>
      <c r="N12" s="197"/>
      <c r="O12" s="198">
        <f>D12*(E12+F12+G12)</f>
        <v>4.68</v>
      </c>
      <c r="P12" s="196"/>
      <c r="Q12" s="197"/>
      <c r="R12" s="197"/>
      <c r="S12" s="198">
        <f>D12*E12</f>
        <v>4.68</v>
      </c>
      <c r="T12" s="196"/>
      <c r="U12" s="197"/>
      <c r="V12" s="197"/>
      <c r="W12" s="198">
        <f>D12*F12</f>
        <v>0</v>
      </c>
      <c r="X12" s="196"/>
      <c r="Y12" s="197"/>
      <c r="Z12" s="197"/>
      <c r="AA12" s="198">
        <f>D12*G12</f>
        <v>0</v>
      </c>
    </row>
    <row r="13" spans="1:31" s="172" customFormat="1" ht="11.25" customHeight="1">
      <c r="B13" s="184"/>
      <c r="C13" s="185"/>
      <c r="D13" s="186"/>
      <c r="E13" s="188"/>
      <c r="F13" s="434"/>
      <c r="G13" s="435"/>
      <c r="H13" s="196"/>
      <c r="I13" s="197"/>
      <c r="J13" s="197"/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A14" s="159" t="s">
        <v>301</v>
      </c>
      <c r="B14" s="178"/>
      <c r="C14" s="179"/>
      <c r="D14" s="180"/>
      <c r="E14" s="189"/>
      <c r="F14" s="436"/>
      <c r="G14" s="437"/>
      <c r="H14" s="199">
        <f>D14*E14</f>
        <v>0</v>
      </c>
      <c r="I14" s="200"/>
      <c r="J14" s="200"/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>
      <c r="A15" s="81"/>
      <c r="B15" s="176"/>
      <c r="C15" s="177"/>
      <c r="D15" s="183"/>
      <c r="E15" s="190"/>
      <c r="F15" s="438"/>
      <c r="G15" s="439"/>
      <c r="H15" s="202"/>
      <c r="I15" s="203"/>
      <c r="J15" s="203"/>
      <c r="K15" s="204"/>
      <c r="L15" s="202"/>
      <c r="M15" s="203"/>
      <c r="N15" s="203"/>
      <c r="O15" s="204"/>
      <c r="P15" s="202"/>
      <c r="Q15" s="203"/>
      <c r="R15" s="203"/>
      <c r="S15" s="204"/>
      <c r="T15" s="202"/>
      <c r="U15" s="203"/>
      <c r="V15" s="203"/>
      <c r="W15" s="204"/>
      <c r="X15" s="202"/>
      <c r="Y15" s="203"/>
      <c r="Z15" s="203"/>
      <c r="AA15" s="204"/>
    </row>
    <row r="16" spans="1:31" ht="14">
      <c r="B16" s="175" t="s">
        <v>140</v>
      </c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23" ht="15" customHeight="1">
      <c r="B17" s="166" t="s">
        <v>138</v>
      </c>
      <c r="C17" s="167"/>
      <c r="D17" s="168"/>
      <c r="E17" s="2837" t="s">
        <v>127</v>
      </c>
      <c r="F17" s="2838"/>
      <c r="G17" s="2838"/>
      <c r="H17" s="2838"/>
      <c r="I17" s="2838"/>
      <c r="J17" s="2838"/>
      <c r="K17" s="2838"/>
      <c r="L17" s="2838"/>
      <c r="M17" s="2838"/>
      <c r="N17" s="2838"/>
      <c r="O17" s="2838"/>
      <c r="P17" s="2838"/>
      <c r="Q17" s="2838"/>
      <c r="R17" s="2839"/>
      <c r="S17" s="2840"/>
      <c r="T17" s="2834" t="s">
        <v>302</v>
      </c>
      <c r="U17" s="2841"/>
      <c r="V17" s="2841"/>
      <c r="W17" s="2842"/>
    </row>
    <row r="18" spans="1:23" ht="13.5" customHeight="1">
      <c r="B18" s="233"/>
      <c r="C18" s="234"/>
      <c r="D18" s="235"/>
      <c r="E18" s="277" t="s">
        <v>303</v>
      </c>
      <c r="F18" s="278" t="s">
        <v>304</v>
      </c>
      <c r="G18" s="278" t="s">
        <v>211</v>
      </c>
      <c r="H18" s="278" t="s">
        <v>211</v>
      </c>
      <c r="I18" s="278" t="s">
        <v>305</v>
      </c>
      <c r="J18" s="279" t="s">
        <v>306</v>
      </c>
      <c r="K18" s="281" t="s">
        <v>221</v>
      </c>
      <c r="L18" s="278" t="s">
        <v>123</v>
      </c>
      <c r="M18" s="278" t="s">
        <v>222</v>
      </c>
      <c r="N18" s="278" t="s">
        <v>307</v>
      </c>
      <c r="O18" s="282" t="s">
        <v>223</v>
      </c>
      <c r="P18" s="283" t="s">
        <v>225</v>
      </c>
      <c r="Q18" s="440" t="s">
        <v>122</v>
      </c>
      <c r="R18" s="441" t="s">
        <v>214</v>
      </c>
      <c r="S18" s="442" t="s">
        <v>215</v>
      </c>
      <c r="T18" s="443" t="s">
        <v>128</v>
      </c>
      <c r="U18" s="278" t="s">
        <v>131</v>
      </c>
      <c r="V18" s="441" t="s">
        <v>308</v>
      </c>
      <c r="W18" s="442" t="s">
        <v>130</v>
      </c>
    </row>
    <row r="19" spans="1:23" ht="12.75" customHeight="1">
      <c r="B19" s="165" t="s">
        <v>67</v>
      </c>
      <c r="C19" s="146" t="s">
        <v>68</v>
      </c>
      <c r="D19" s="161" t="s">
        <v>21</v>
      </c>
      <c r="E19" s="358"/>
      <c r="F19" s="280"/>
      <c r="G19" s="280" t="s">
        <v>218</v>
      </c>
      <c r="H19" s="280" t="s">
        <v>219</v>
      </c>
      <c r="I19" s="280"/>
      <c r="J19" s="280" t="s">
        <v>220</v>
      </c>
      <c r="K19" s="280" t="s">
        <v>309</v>
      </c>
      <c r="L19" s="280"/>
      <c r="M19" s="280" t="s">
        <v>272</v>
      </c>
      <c r="N19" s="280" t="s">
        <v>273</v>
      </c>
      <c r="O19" s="280" t="s">
        <v>224</v>
      </c>
      <c r="P19" s="280" t="s">
        <v>226</v>
      </c>
      <c r="Q19" s="444" t="s">
        <v>274</v>
      </c>
      <c r="R19" s="235" t="s">
        <v>310</v>
      </c>
      <c r="S19" s="445" t="s">
        <v>310</v>
      </c>
      <c r="T19" s="446"/>
      <c r="U19" s="234"/>
      <c r="V19" s="447"/>
      <c r="W19" s="445"/>
    </row>
    <row r="20" spans="1:23" s="172" customFormat="1">
      <c r="A20" s="169"/>
      <c r="B20" s="170"/>
      <c r="C20" s="171"/>
      <c r="D20" s="173"/>
      <c r="E20" s="193">
        <f t="shared" ref="E20:W20" si="1">SUM(E21:E30)</f>
        <v>0</v>
      </c>
      <c r="F20" s="194">
        <f t="shared" si="1"/>
        <v>0</v>
      </c>
      <c r="G20" s="194">
        <f t="shared" si="1"/>
        <v>0</v>
      </c>
      <c r="H20" s="194">
        <f t="shared" si="1"/>
        <v>0</v>
      </c>
      <c r="I20" s="194">
        <f t="shared" si="1"/>
        <v>9.48</v>
      </c>
      <c r="J20" s="194">
        <f t="shared" si="1"/>
        <v>0</v>
      </c>
      <c r="K20" s="194">
        <f t="shared" si="1"/>
        <v>0</v>
      </c>
      <c r="L20" s="194">
        <f t="shared" si="1"/>
        <v>0</v>
      </c>
      <c r="M20" s="194">
        <f t="shared" si="1"/>
        <v>0</v>
      </c>
      <c r="N20" s="194">
        <f t="shared" si="1"/>
        <v>0</v>
      </c>
      <c r="O20" s="286">
        <f t="shared" si="1"/>
        <v>0</v>
      </c>
      <c r="P20" s="194">
        <f t="shared" si="1"/>
        <v>0</v>
      </c>
      <c r="Q20" s="448">
        <f t="shared" si="1"/>
        <v>0</v>
      </c>
      <c r="R20" s="194">
        <f t="shared" si="1"/>
        <v>0</v>
      </c>
      <c r="S20" s="195">
        <f t="shared" si="1"/>
        <v>0</v>
      </c>
      <c r="T20" s="449">
        <f t="shared" si="1"/>
        <v>0</v>
      </c>
      <c r="U20" s="194">
        <f t="shared" si="1"/>
        <v>0</v>
      </c>
      <c r="V20" s="448">
        <f t="shared" si="1"/>
        <v>0</v>
      </c>
      <c r="W20" s="195">
        <f t="shared" si="1"/>
        <v>0</v>
      </c>
    </row>
    <row r="21" spans="1:23" s="172" customFormat="1" ht="11.25" customHeight="1">
      <c r="B21" s="178"/>
      <c r="C21" s="179"/>
      <c r="D21" s="180"/>
      <c r="E21" s="199"/>
      <c r="F21" s="200"/>
      <c r="G21" s="200"/>
      <c r="H21" s="200"/>
      <c r="I21" s="200"/>
      <c r="J21" s="200"/>
      <c r="K21" s="200"/>
      <c r="L21" s="200"/>
      <c r="M21" s="200"/>
      <c r="N21" s="200"/>
      <c r="O21" s="284"/>
      <c r="P21" s="200"/>
      <c r="Q21" s="450"/>
      <c r="R21" s="200"/>
      <c r="S21" s="201"/>
      <c r="T21" s="451"/>
      <c r="U21" s="200"/>
      <c r="V21" s="450"/>
      <c r="W21" s="452"/>
    </row>
    <row r="22" spans="1:23" s="172" customFormat="1" ht="11.25" customHeight="1">
      <c r="B22" s="178" t="s">
        <v>3394</v>
      </c>
      <c r="C22" s="179"/>
      <c r="D22" s="180">
        <v>1.2</v>
      </c>
      <c r="E22" s="199"/>
      <c r="F22" s="200"/>
      <c r="G22" s="200"/>
      <c r="H22" s="200"/>
      <c r="I22" s="200">
        <f>D22*4</f>
        <v>4.8</v>
      </c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3396</v>
      </c>
      <c r="C23" s="179" t="s">
        <v>3398</v>
      </c>
      <c r="D23" s="180">
        <v>12</v>
      </c>
      <c r="E23" s="199"/>
      <c r="F23" s="200"/>
      <c r="G23" s="200"/>
      <c r="H23" s="200"/>
      <c r="I23" s="200">
        <f>D23*0.39</f>
        <v>4.68</v>
      </c>
      <c r="J23" s="200"/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X7:AA7"/>
    <mergeCell ref="E17:S17"/>
    <mergeCell ref="T17:W17"/>
    <mergeCell ref="G5:J5"/>
    <mergeCell ref="O5:R5"/>
    <mergeCell ref="H7:K7"/>
    <mergeCell ref="L7:O7"/>
    <mergeCell ref="P7:S7"/>
    <mergeCell ref="T7:W7"/>
    <mergeCell ref="G2:J2"/>
    <mergeCell ref="O2:R2"/>
    <mergeCell ref="G3:J3"/>
    <mergeCell ref="O3:R3"/>
    <mergeCell ref="G4:J4"/>
    <mergeCell ref="O4:R4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9" tint="0.59999389629810485"/>
  </sheetPr>
  <dimension ref="A1:AM511"/>
  <sheetViews>
    <sheetView view="pageBreakPreview" zoomScale="85" zoomScaleNormal="100" zoomScaleSheetLayoutView="85" workbookViewId="0">
      <selection activeCell="I40" sqref="I40"/>
    </sheetView>
  </sheetViews>
  <sheetFormatPr baseColWidth="10" defaultColWidth="8.83203125" defaultRowHeight="13.5" customHeight="1"/>
  <cols>
    <col min="1" max="1" width="2.5" style="1278" customWidth="1"/>
    <col min="2" max="2" width="3.5" style="1278" customWidth="1"/>
    <col min="3" max="3" width="21.5" style="1278" customWidth="1"/>
    <col min="4" max="4" width="4" style="1278" customWidth="1"/>
    <col min="5" max="5" width="5.33203125" style="1278" customWidth="1"/>
    <col min="6" max="6" width="15.33203125" style="1278" customWidth="1"/>
    <col min="7" max="14" width="14.33203125" style="1279" customWidth="1"/>
    <col min="15" max="256" width="9" style="1278"/>
    <col min="257" max="257" width="2.5" style="1278" customWidth="1"/>
    <col min="258" max="258" width="3.5" style="1278" customWidth="1"/>
    <col min="259" max="259" width="21.5" style="1278" customWidth="1"/>
    <col min="260" max="260" width="4" style="1278" customWidth="1"/>
    <col min="261" max="261" width="5.33203125" style="1278" customWidth="1"/>
    <col min="262" max="262" width="15.33203125" style="1278" customWidth="1"/>
    <col min="263" max="270" width="14.33203125" style="1278" customWidth="1"/>
    <col min="271" max="512" width="9" style="1278"/>
    <col min="513" max="513" width="2.5" style="1278" customWidth="1"/>
    <col min="514" max="514" width="3.5" style="1278" customWidth="1"/>
    <col min="515" max="515" width="21.5" style="1278" customWidth="1"/>
    <col min="516" max="516" width="4" style="1278" customWidth="1"/>
    <col min="517" max="517" width="5.33203125" style="1278" customWidth="1"/>
    <col min="518" max="518" width="15.33203125" style="1278" customWidth="1"/>
    <col min="519" max="526" width="14.33203125" style="1278" customWidth="1"/>
    <col min="527" max="768" width="9" style="1278"/>
    <col min="769" max="769" width="2.5" style="1278" customWidth="1"/>
    <col min="770" max="770" width="3.5" style="1278" customWidth="1"/>
    <col min="771" max="771" width="21.5" style="1278" customWidth="1"/>
    <col min="772" max="772" width="4" style="1278" customWidth="1"/>
    <col min="773" max="773" width="5.33203125" style="1278" customWidth="1"/>
    <col min="774" max="774" width="15.33203125" style="1278" customWidth="1"/>
    <col min="775" max="782" width="14.33203125" style="1278" customWidth="1"/>
    <col min="783" max="1024" width="9" style="1278"/>
    <col min="1025" max="1025" width="2.5" style="1278" customWidth="1"/>
    <col min="1026" max="1026" width="3.5" style="1278" customWidth="1"/>
    <col min="1027" max="1027" width="21.5" style="1278" customWidth="1"/>
    <col min="1028" max="1028" width="4" style="1278" customWidth="1"/>
    <col min="1029" max="1029" width="5.33203125" style="1278" customWidth="1"/>
    <col min="1030" max="1030" width="15.33203125" style="1278" customWidth="1"/>
    <col min="1031" max="1038" width="14.33203125" style="1278" customWidth="1"/>
    <col min="1039" max="1280" width="9" style="1278"/>
    <col min="1281" max="1281" width="2.5" style="1278" customWidth="1"/>
    <col min="1282" max="1282" width="3.5" style="1278" customWidth="1"/>
    <col min="1283" max="1283" width="21.5" style="1278" customWidth="1"/>
    <col min="1284" max="1284" width="4" style="1278" customWidth="1"/>
    <col min="1285" max="1285" width="5.33203125" style="1278" customWidth="1"/>
    <col min="1286" max="1286" width="15.33203125" style="1278" customWidth="1"/>
    <col min="1287" max="1294" width="14.33203125" style="1278" customWidth="1"/>
    <col min="1295" max="1536" width="9" style="1278"/>
    <col min="1537" max="1537" width="2.5" style="1278" customWidth="1"/>
    <col min="1538" max="1538" width="3.5" style="1278" customWidth="1"/>
    <col min="1539" max="1539" width="21.5" style="1278" customWidth="1"/>
    <col min="1540" max="1540" width="4" style="1278" customWidth="1"/>
    <col min="1541" max="1541" width="5.33203125" style="1278" customWidth="1"/>
    <col min="1542" max="1542" width="15.33203125" style="1278" customWidth="1"/>
    <col min="1543" max="1550" width="14.33203125" style="1278" customWidth="1"/>
    <col min="1551" max="1792" width="9" style="1278"/>
    <col min="1793" max="1793" width="2.5" style="1278" customWidth="1"/>
    <col min="1794" max="1794" width="3.5" style="1278" customWidth="1"/>
    <col min="1795" max="1795" width="21.5" style="1278" customWidth="1"/>
    <col min="1796" max="1796" width="4" style="1278" customWidth="1"/>
    <col min="1797" max="1797" width="5.33203125" style="1278" customWidth="1"/>
    <col min="1798" max="1798" width="15.33203125" style="1278" customWidth="1"/>
    <col min="1799" max="1806" width="14.33203125" style="1278" customWidth="1"/>
    <col min="1807" max="2048" width="9" style="1278"/>
    <col min="2049" max="2049" width="2.5" style="1278" customWidth="1"/>
    <col min="2050" max="2050" width="3.5" style="1278" customWidth="1"/>
    <col min="2051" max="2051" width="21.5" style="1278" customWidth="1"/>
    <col min="2052" max="2052" width="4" style="1278" customWidth="1"/>
    <col min="2053" max="2053" width="5.33203125" style="1278" customWidth="1"/>
    <col min="2054" max="2054" width="15.33203125" style="1278" customWidth="1"/>
    <col min="2055" max="2062" width="14.33203125" style="1278" customWidth="1"/>
    <col min="2063" max="2304" width="9" style="1278"/>
    <col min="2305" max="2305" width="2.5" style="1278" customWidth="1"/>
    <col min="2306" max="2306" width="3.5" style="1278" customWidth="1"/>
    <col min="2307" max="2307" width="21.5" style="1278" customWidth="1"/>
    <col min="2308" max="2308" width="4" style="1278" customWidth="1"/>
    <col min="2309" max="2309" width="5.33203125" style="1278" customWidth="1"/>
    <col min="2310" max="2310" width="15.33203125" style="1278" customWidth="1"/>
    <col min="2311" max="2318" width="14.33203125" style="1278" customWidth="1"/>
    <col min="2319" max="2560" width="9" style="1278"/>
    <col min="2561" max="2561" width="2.5" style="1278" customWidth="1"/>
    <col min="2562" max="2562" width="3.5" style="1278" customWidth="1"/>
    <col min="2563" max="2563" width="21.5" style="1278" customWidth="1"/>
    <col min="2564" max="2564" width="4" style="1278" customWidth="1"/>
    <col min="2565" max="2565" width="5.33203125" style="1278" customWidth="1"/>
    <col min="2566" max="2566" width="15.33203125" style="1278" customWidth="1"/>
    <col min="2567" max="2574" width="14.33203125" style="1278" customWidth="1"/>
    <col min="2575" max="2816" width="9" style="1278"/>
    <col min="2817" max="2817" width="2.5" style="1278" customWidth="1"/>
    <col min="2818" max="2818" width="3.5" style="1278" customWidth="1"/>
    <col min="2819" max="2819" width="21.5" style="1278" customWidth="1"/>
    <col min="2820" max="2820" width="4" style="1278" customWidth="1"/>
    <col min="2821" max="2821" width="5.33203125" style="1278" customWidth="1"/>
    <col min="2822" max="2822" width="15.33203125" style="1278" customWidth="1"/>
    <col min="2823" max="2830" width="14.33203125" style="1278" customWidth="1"/>
    <col min="2831" max="3072" width="9" style="1278"/>
    <col min="3073" max="3073" width="2.5" style="1278" customWidth="1"/>
    <col min="3074" max="3074" width="3.5" style="1278" customWidth="1"/>
    <col min="3075" max="3075" width="21.5" style="1278" customWidth="1"/>
    <col min="3076" max="3076" width="4" style="1278" customWidth="1"/>
    <col min="3077" max="3077" width="5.33203125" style="1278" customWidth="1"/>
    <col min="3078" max="3078" width="15.33203125" style="1278" customWidth="1"/>
    <col min="3079" max="3086" width="14.33203125" style="1278" customWidth="1"/>
    <col min="3087" max="3328" width="9" style="1278"/>
    <col min="3329" max="3329" width="2.5" style="1278" customWidth="1"/>
    <col min="3330" max="3330" width="3.5" style="1278" customWidth="1"/>
    <col min="3331" max="3331" width="21.5" style="1278" customWidth="1"/>
    <col min="3332" max="3332" width="4" style="1278" customWidth="1"/>
    <col min="3333" max="3333" width="5.33203125" style="1278" customWidth="1"/>
    <col min="3334" max="3334" width="15.33203125" style="1278" customWidth="1"/>
    <col min="3335" max="3342" width="14.33203125" style="1278" customWidth="1"/>
    <col min="3343" max="3584" width="9" style="1278"/>
    <col min="3585" max="3585" width="2.5" style="1278" customWidth="1"/>
    <col min="3586" max="3586" width="3.5" style="1278" customWidth="1"/>
    <col min="3587" max="3587" width="21.5" style="1278" customWidth="1"/>
    <col min="3588" max="3588" width="4" style="1278" customWidth="1"/>
    <col min="3589" max="3589" width="5.33203125" style="1278" customWidth="1"/>
    <col min="3590" max="3590" width="15.33203125" style="1278" customWidth="1"/>
    <col min="3591" max="3598" width="14.33203125" style="1278" customWidth="1"/>
    <col min="3599" max="3840" width="9" style="1278"/>
    <col min="3841" max="3841" width="2.5" style="1278" customWidth="1"/>
    <col min="3842" max="3842" width="3.5" style="1278" customWidth="1"/>
    <col min="3843" max="3843" width="21.5" style="1278" customWidth="1"/>
    <col min="3844" max="3844" width="4" style="1278" customWidth="1"/>
    <col min="3845" max="3845" width="5.33203125" style="1278" customWidth="1"/>
    <col min="3846" max="3846" width="15.33203125" style="1278" customWidth="1"/>
    <col min="3847" max="3854" width="14.33203125" style="1278" customWidth="1"/>
    <col min="3855" max="4096" width="9" style="1278"/>
    <col min="4097" max="4097" width="2.5" style="1278" customWidth="1"/>
    <col min="4098" max="4098" width="3.5" style="1278" customWidth="1"/>
    <col min="4099" max="4099" width="21.5" style="1278" customWidth="1"/>
    <col min="4100" max="4100" width="4" style="1278" customWidth="1"/>
    <col min="4101" max="4101" width="5.33203125" style="1278" customWidth="1"/>
    <col min="4102" max="4102" width="15.33203125" style="1278" customWidth="1"/>
    <col min="4103" max="4110" width="14.33203125" style="1278" customWidth="1"/>
    <col min="4111" max="4352" width="9" style="1278"/>
    <col min="4353" max="4353" width="2.5" style="1278" customWidth="1"/>
    <col min="4354" max="4354" width="3.5" style="1278" customWidth="1"/>
    <col min="4355" max="4355" width="21.5" style="1278" customWidth="1"/>
    <col min="4356" max="4356" width="4" style="1278" customWidth="1"/>
    <col min="4357" max="4357" width="5.33203125" style="1278" customWidth="1"/>
    <col min="4358" max="4358" width="15.33203125" style="1278" customWidth="1"/>
    <col min="4359" max="4366" width="14.33203125" style="1278" customWidth="1"/>
    <col min="4367" max="4608" width="9" style="1278"/>
    <col min="4609" max="4609" width="2.5" style="1278" customWidth="1"/>
    <col min="4610" max="4610" width="3.5" style="1278" customWidth="1"/>
    <col min="4611" max="4611" width="21.5" style="1278" customWidth="1"/>
    <col min="4612" max="4612" width="4" style="1278" customWidth="1"/>
    <col min="4613" max="4613" width="5.33203125" style="1278" customWidth="1"/>
    <col min="4614" max="4614" width="15.33203125" style="1278" customWidth="1"/>
    <col min="4615" max="4622" width="14.33203125" style="1278" customWidth="1"/>
    <col min="4623" max="4864" width="9" style="1278"/>
    <col min="4865" max="4865" width="2.5" style="1278" customWidth="1"/>
    <col min="4866" max="4866" width="3.5" style="1278" customWidth="1"/>
    <col min="4867" max="4867" width="21.5" style="1278" customWidth="1"/>
    <col min="4868" max="4868" width="4" style="1278" customWidth="1"/>
    <col min="4869" max="4869" width="5.33203125" style="1278" customWidth="1"/>
    <col min="4870" max="4870" width="15.33203125" style="1278" customWidth="1"/>
    <col min="4871" max="4878" width="14.33203125" style="1278" customWidth="1"/>
    <col min="4879" max="5120" width="9" style="1278"/>
    <col min="5121" max="5121" width="2.5" style="1278" customWidth="1"/>
    <col min="5122" max="5122" width="3.5" style="1278" customWidth="1"/>
    <col min="5123" max="5123" width="21.5" style="1278" customWidth="1"/>
    <col min="5124" max="5124" width="4" style="1278" customWidth="1"/>
    <col min="5125" max="5125" width="5.33203125" style="1278" customWidth="1"/>
    <col min="5126" max="5126" width="15.33203125" style="1278" customWidth="1"/>
    <col min="5127" max="5134" width="14.33203125" style="1278" customWidth="1"/>
    <col min="5135" max="5376" width="9" style="1278"/>
    <col min="5377" max="5377" width="2.5" style="1278" customWidth="1"/>
    <col min="5378" max="5378" width="3.5" style="1278" customWidth="1"/>
    <col min="5379" max="5379" width="21.5" style="1278" customWidth="1"/>
    <col min="5380" max="5380" width="4" style="1278" customWidth="1"/>
    <col min="5381" max="5381" width="5.33203125" style="1278" customWidth="1"/>
    <col min="5382" max="5382" width="15.33203125" style="1278" customWidth="1"/>
    <col min="5383" max="5390" width="14.33203125" style="1278" customWidth="1"/>
    <col min="5391" max="5632" width="9" style="1278"/>
    <col min="5633" max="5633" width="2.5" style="1278" customWidth="1"/>
    <col min="5634" max="5634" width="3.5" style="1278" customWidth="1"/>
    <col min="5635" max="5635" width="21.5" style="1278" customWidth="1"/>
    <col min="5636" max="5636" width="4" style="1278" customWidth="1"/>
    <col min="5637" max="5637" width="5.33203125" style="1278" customWidth="1"/>
    <col min="5638" max="5638" width="15.33203125" style="1278" customWidth="1"/>
    <col min="5639" max="5646" width="14.33203125" style="1278" customWidth="1"/>
    <col min="5647" max="5888" width="9" style="1278"/>
    <col min="5889" max="5889" width="2.5" style="1278" customWidth="1"/>
    <col min="5890" max="5890" width="3.5" style="1278" customWidth="1"/>
    <col min="5891" max="5891" width="21.5" style="1278" customWidth="1"/>
    <col min="5892" max="5892" width="4" style="1278" customWidth="1"/>
    <col min="5893" max="5893" width="5.33203125" style="1278" customWidth="1"/>
    <col min="5894" max="5894" width="15.33203125" style="1278" customWidth="1"/>
    <col min="5895" max="5902" width="14.33203125" style="1278" customWidth="1"/>
    <col min="5903" max="6144" width="9" style="1278"/>
    <col min="6145" max="6145" width="2.5" style="1278" customWidth="1"/>
    <col min="6146" max="6146" width="3.5" style="1278" customWidth="1"/>
    <col min="6147" max="6147" width="21.5" style="1278" customWidth="1"/>
    <col min="6148" max="6148" width="4" style="1278" customWidth="1"/>
    <col min="6149" max="6149" width="5.33203125" style="1278" customWidth="1"/>
    <col min="6150" max="6150" width="15.33203125" style="1278" customWidth="1"/>
    <col min="6151" max="6158" width="14.33203125" style="1278" customWidth="1"/>
    <col min="6159" max="6400" width="9" style="1278"/>
    <col min="6401" max="6401" width="2.5" style="1278" customWidth="1"/>
    <col min="6402" max="6402" width="3.5" style="1278" customWidth="1"/>
    <col min="6403" max="6403" width="21.5" style="1278" customWidth="1"/>
    <col min="6404" max="6404" width="4" style="1278" customWidth="1"/>
    <col min="6405" max="6405" width="5.33203125" style="1278" customWidth="1"/>
    <col min="6406" max="6406" width="15.33203125" style="1278" customWidth="1"/>
    <col min="6407" max="6414" width="14.33203125" style="1278" customWidth="1"/>
    <col min="6415" max="6656" width="9" style="1278"/>
    <col min="6657" max="6657" width="2.5" style="1278" customWidth="1"/>
    <col min="6658" max="6658" width="3.5" style="1278" customWidth="1"/>
    <col min="6659" max="6659" width="21.5" style="1278" customWidth="1"/>
    <col min="6660" max="6660" width="4" style="1278" customWidth="1"/>
    <col min="6661" max="6661" width="5.33203125" style="1278" customWidth="1"/>
    <col min="6662" max="6662" width="15.33203125" style="1278" customWidth="1"/>
    <col min="6663" max="6670" width="14.33203125" style="1278" customWidth="1"/>
    <col min="6671" max="6912" width="9" style="1278"/>
    <col min="6913" max="6913" width="2.5" style="1278" customWidth="1"/>
    <col min="6914" max="6914" width="3.5" style="1278" customWidth="1"/>
    <col min="6915" max="6915" width="21.5" style="1278" customWidth="1"/>
    <col min="6916" max="6916" width="4" style="1278" customWidth="1"/>
    <col min="6917" max="6917" width="5.33203125" style="1278" customWidth="1"/>
    <col min="6918" max="6918" width="15.33203125" style="1278" customWidth="1"/>
    <col min="6919" max="6926" width="14.33203125" style="1278" customWidth="1"/>
    <col min="6927" max="7168" width="9" style="1278"/>
    <col min="7169" max="7169" width="2.5" style="1278" customWidth="1"/>
    <col min="7170" max="7170" width="3.5" style="1278" customWidth="1"/>
    <col min="7171" max="7171" width="21.5" style="1278" customWidth="1"/>
    <col min="7172" max="7172" width="4" style="1278" customWidth="1"/>
    <col min="7173" max="7173" width="5.33203125" style="1278" customWidth="1"/>
    <col min="7174" max="7174" width="15.33203125" style="1278" customWidth="1"/>
    <col min="7175" max="7182" width="14.33203125" style="1278" customWidth="1"/>
    <col min="7183" max="7424" width="9" style="1278"/>
    <col min="7425" max="7425" width="2.5" style="1278" customWidth="1"/>
    <col min="7426" max="7426" width="3.5" style="1278" customWidth="1"/>
    <col min="7427" max="7427" width="21.5" style="1278" customWidth="1"/>
    <col min="7428" max="7428" width="4" style="1278" customWidth="1"/>
    <col min="7429" max="7429" width="5.33203125" style="1278" customWidth="1"/>
    <col min="7430" max="7430" width="15.33203125" style="1278" customWidth="1"/>
    <col min="7431" max="7438" width="14.33203125" style="1278" customWidth="1"/>
    <col min="7439" max="7680" width="9" style="1278"/>
    <col min="7681" max="7681" width="2.5" style="1278" customWidth="1"/>
    <col min="7682" max="7682" width="3.5" style="1278" customWidth="1"/>
    <col min="7683" max="7683" width="21.5" style="1278" customWidth="1"/>
    <col min="7684" max="7684" width="4" style="1278" customWidth="1"/>
    <col min="7685" max="7685" width="5.33203125" style="1278" customWidth="1"/>
    <col min="7686" max="7686" width="15.33203125" style="1278" customWidth="1"/>
    <col min="7687" max="7694" width="14.33203125" style="1278" customWidth="1"/>
    <col min="7695" max="7936" width="9" style="1278"/>
    <col min="7937" max="7937" width="2.5" style="1278" customWidth="1"/>
    <col min="7938" max="7938" width="3.5" style="1278" customWidth="1"/>
    <col min="7939" max="7939" width="21.5" style="1278" customWidth="1"/>
    <col min="7940" max="7940" width="4" style="1278" customWidth="1"/>
    <col min="7941" max="7941" width="5.33203125" style="1278" customWidth="1"/>
    <col min="7942" max="7942" width="15.33203125" style="1278" customWidth="1"/>
    <col min="7943" max="7950" width="14.33203125" style="1278" customWidth="1"/>
    <col min="7951" max="8192" width="9" style="1278"/>
    <col min="8193" max="8193" width="2.5" style="1278" customWidth="1"/>
    <col min="8194" max="8194" width="3.5" style="1278" customWidth="1"/>
    <col min="8195" max="8195" width="21.5" style="1278" customWidth="1"/>
    <col min="8196" max="8196" width="4" style="1278" customWidth="1"/>
    <col min="8197" max="8197" width="5.33203125" style="1278" customWidth="1"/>
    <col min="8198" max="8198" width="15.33203125" style="1278" customWidth="1"/>
    <col min="8199" max="8206" width="14.33203125" style="1278" customWidth="1"/>
    <col min="8207" max="8448" width="9" style="1278"/>
    <col min="8449" max="8449" width="2.5" style="1278" customWidth="1"/>
    <col min="8450" max="8450" width="3.5" style="1278" customWidth="1"/>
    <col min="8451" max="8451" width="21.5" style="1278" customWidth="1"/>
    <col min="8452" max="8452" width="4" style="1278" customWidth="1"/>
    <col min="8453" max="8453" width="5.33203125" style="1278" customWidth="1"/>
    <col min="8454" max="8454" width="15.33203125" style="1278" customWidth="1"/>
    <col min="8455" max="8462" width="14.33203125" style="1278" customWidth="1"/>
    <col min="8463" max="8704" width="9" style="1278"/>
    <col min="8705" max="8705" width="2.5" style="1278" customWidth="1"/>
    <col min="8706" max="8706" width="3.5" style="1278" customWidth="1"/>
    <col min="8707" max="8707" width="21.5" style="1278" customWidth="1"/>
    <col min="8708" max="8708" width="4" style="1278" customWidth="1"/>
    <col min="8709" max="8709" width="5.33203125" style="1278" customWidth="1"/>
    <col min="8710" max="8710" width="15.33203125" style="1278" customWidth="1"/>
    <col min="8711" max="8718" width="14.33203125" style="1278" customWidth="1"/>
    <col min="8719" max="8960" width="9" style="1278"/>
    <col min="8961" max="8961" width="2.5" style="1278" customWidth="1"/>
    <col min="8962" max="8962" width="3.5" style="1278" customWidth="1"/>
    <col min="8963" max="8963" width="21.5" style="1278" customWidth="1"/>
    <col min="8964" max="8964" width="4" style="1278" customWidth="1"/>
    <col min="8965" max="8965" width="5.33203125" style="1278" customWidth="1"/>
    <col min="8966" max="8966" width="15.33203125" style="1278" customWidth="1"/>
    <col min="8967" max="8974" width="14.33203125" style="1278" customWidth="1"/>
    <col min="8975" max="9216" width="9" style="1278"/>
    <col min="9217" max="9217" width="2.5" style="1278" customWidth="1"/>
    <col min="9218" max="9218" width="3.5" style="1278" customWidth="1"/>
    <col min="9219" max="9219" width="21.5" style="1278" customWidth="1"/>
    <col min="9220" max="9220" width="4" style="1278" customWidth="1"/>
    <col min="9221" max="9221" width="5.33203125" style="1278" customWidth="1"/>
    <col min="9222" max="9222" width="15.33203125" style="1278" customWidth="1"/>
    <col min="9223" max="9230" width="14.33203125" style="1278" customWidth="1"/>
    <col min="9231" max="9472" width="9" style="1278"/>
    <col min="9473" max="9473" width="2.5" style="1278" customWidth="1"/>
    <col min="9474" max="9474" width="3.5" style="1278" customWidth="1"/>
    <col min="9475" max="9475" width="21.5" style="1278" customWidth="1"/>
    <col min="9476" max="9476" width="4" style="1278" customWidth="1"/>
    <col min="9477" max="9477" width="5.33203125" style="1278" customWidth="1"/>
    <col min="9478" max="9478" width="15.33203125" style="1278" customWidth="1"/>
    <col min="9479" max="9486" width="14.33203125" style="1278" customWidth="1"/>
    <col min="9487" max="9728" width="9" style="1278"/>
    <col min="9729" max="9729" width="2.5" style="1278" customWidth="1"/>
    <col min="9730" max="9730" width="3.5" style="1278" customWidth="1"/>
    <col min="9731" max="9731" width="21.5" style="1278" customWidth="1"/>
    <col min="9732" max="9732" width="4" style="1278" customWidth="1"/>
    <col min="9733" max="9733" width="5.33203125" style="1278" customWidth="1"/>
    <col min="9734" max="9734" width="15.33203125" style="1278" customWidth="1"/>
    <col min="9735" max="9742" width="14.33203125" style="1278" customWidth="1"/>
    <col min="9743" max="9984" width="9" style="1278"/>
    <col min="9985" max="9985" width="2.5" style="1278" customWidth="1"/>
    <col min="9986" max="9986" width="3.5" style="1278" customWidth="1"/>
    <col min="9987" max="9987" width="21.5" style="1278" customWidth="1"/>
    <col min="9988" max="9988" width="4" style="1278" customWidth="1"/>
    <col min="9989" max="9989" width="5.33203125" style="1278" customWidth="1"/>
    <col min="9990" max="9990" width="15.33203125" style="1278" customWidth="1"/>
    <col min="9991" max="9998" width="14.33203125" style="1278" customWidth="1"/>
    <col min="9999" max="10240" width="9" style="1278"/>
    <col min="10241" max="10241" width="2.5" style="1278" customWidth="1"/>
    <col min="10242" max="10242" width="3.5" style="1278" customWidth="1"/>
    <col min="10243" max="10243" width="21.5" style="1278" customWidth="1"/>
    <col min="10244" max="10244" width="4" style="1278" customWidth="1"/>
    <col min="10245" max="10245" width="5.33203125" style="1278" customWidth="1"/>
    <col min="10246" max="10246" width="15.33203125" style="1278" customWidth="1"/>
    <col min="10247" max="10254" width="14.33203125" style="1278" customWidth="1"/>
    <col min="10255" max="10496" width="9" style="1278"/>
    <col min="10497" max="10497" width="2.5" style="1278" customWidth="1"/>
    <col min="10498" max="10498" width="3.5" style="1278" customWidth="1"/>
    <col min="10499" max="10499" width="21.5" style="1278" customWidth="1"/>
    <col min="10500" max="10500" width="4" style="1278" customWidth="1"/>
    <col min="10501" max="10501" width="5.33203125" style="1278" customWidth="1"/>
    <col min="10502" max="10502" width="15.33203125" style="1278" customWidth="1"/>
    <col min="10503" max="10510" width="14.33203125" style="1278" customWidth="1"/>
    <col min="10511" max="10752" width="9" style="1278"/>
    <col min="10753" max="10753" width="2.5" style="1278" customWidth="1"/>
    <col min="10754" max="10754" width="3.5" style="1278" customWidth="1"/>
    <col min="10755" max="10755" width="21.5" style="1278" customWidth="1"/>
    <col min="10756" max="10756" width="4" style="1278" customWidth="1"/>
    <col min="10757" max="10757" width="5.33203125" style="1278" customWidth="1"/>
    <col min="10758" max="10758" width="15.33203125" style="1278" customWidth="1"/>
    <col min="10759" max="10766" width="14.33203125" style="1278" customWidth="1"/>
    <col min="10767" max="11008" width="9" style="1278"/>
    <col min="11009" max="11009" width="2.5" style="1278" customWidth="1"/>
    <col min="11010" max="11010" width="3.5" style="1278" customWidth="1"/>
    <col min="11011" max="11011" width="21.5" style="1278" customWidth="1"/>
    <col min="11012" max="11012" width="4" style="1278" customWidth="1"/>
    <col min="11013" max="11013" width="5.33203125" style="1278" customWidth="1"/>
    <col min="11014" max="11014" width="15.33203125" style="1278" customWidth="1"/>
    <col min="11015" max="11022" width="14.33203125" style="1278" customWidth="1"/>
    <col min="11023" max="11264" width="9" style="1278"/>
    <col min="11265" max="11265" width="2.5" style="1278" customWidth="1"/>
    <col min="11266" max="11266" width="3.5" style="1278" customWidth="1"/>
    <col min="11267" max="11267" width="21.5" style="1278" customWidth="1"/>
    <col min="11268" max="11268" width="4" style="1278" customWidth="1"/>
    <col min="11269" max="11269" width="5.33203125" style="1278" customWidth="1"/>
    <col min="11270" max="11270" width="15.33203125" style="1278" customWidth="1"/>
    <col min="11271" max="11278" width="14.33203125" style="1278" customWidth="1"/>
    <col min="11279" max="11520" width="9" style="1278"/>
    <col min="11521" max="11521" width="2.5" style="1278" customWidth="1"/>
    <col min="11522" max="11522" width="3.5" style="1278" customWidth="1"/>
    <col min="11523" max="11523" width="21.5" style="1278" customWidth="1"/>
    <col min="11524" max="11524" width="4" style="1278" customWidth="1"/>
    <col min="11525" max="11525" width="5.33203125" style="1278" customWidth="1"/>
    <col min="11526" max="11526" width="15.33203125" style="1278" customWidth="1"/>
    <col min="11527" max="11534" width="14.33203125" style="1278" customWidth="1"/>
    <col min="11535" max="11776" width="9" style="1278"/>
    <col min="11777" max="11777" width="2.5" style="1278" customWidth="1"/>
    <col min="11778" max="11778" width="3.5" style="1278" customWidth="1"/>
    <col min="11779" max="11779" width="21.5" style="1278" customWidth="1"/>
    <col min="11780" max="11780" width="4" style="1278" customWidth="1"/>
    <col min="11781" max="11781" width="5.33203125" style="1278" customWidth="1"/>
    <col min="11782" max="11782" width="15.33203125" style="1278" customWidth="1"/>
    <col min="11783" max="11790" width="14.33203125" style="1278" customWidth="1"/>
    <col min="11791" max="12032" width="9" style="1278"/>
    <col min="12033" max="12033" width="2.5" style="1278" customWidth="1"/>
    <col min="12034" max="12034" width="3.5" style="1278" customWidth="1"/>
    <col min="12035" max="12035" width="21.5" style="1278" customWidth="1"/>
    <col min="12036" max="12036" width="4" style="1278" customWidth="1"/>
    <col min="12037" max="12037" width="5.33203125" style="1278" customWidth="1"/>
    <col min="12038" max="12038" width="15.33203125" style="1278" customWidth="1"/>
    <col min="12039" max="12046" width="14.33203125" style="1278" customWidth="1"/>
    <col min="12047" max="12288" width="9" style="1278"/>
    <col min="12289" max="12289" width="2.5" style="1278" customWidth="1"/>
    <col min="12290" max="12290" width="3.5" style="1278" customWidth="1"/>
    <col min="12291" max="12291" width="21.5" style="1278" customWidth="1"/>
    <col min="12292" max="12292" width="4" style="1278" customWidth="1"/>
    <col min="12293" max="12293" width="5.33203125" style="1278" customWidth="1"/>
    <col min="12294" max="12294" width="15.33203125" style="1278" customWidth="1"/>
    <col min="12295" max="12302" width="14.33203125" style="1278" customWidth="1"/>
    <col min="12303" max="12544" width="9" style="1278"/>
    <col min="12545" max="12545" width="2.5" style="1278" customWidth="1"/>
    <col min="12546" max="12546" width="3.5" style="1278" customWidth="1"/>
    <col min="12547" max="12547" width="21.5" style="1278" customWidth="1"/>
    <col min="12548" max="12548" width="4" style="1278" customWidth="1"/>
    <col min="12549" max="12549" width="5.33203125" style="1278" customWidth="1"/>
    <col min="12550" max="12550" width="15.33203125" style="1278" customWidth="1"/>
    <col min="12551" max="12558" width="14.33203125" style="1278" customWidth="1"/>
    <col min="12559" max="12800" width="9" style="1278"/>
    <col min="12801" max="12801" width="2.5" style="1278" customWidth="1"/>
    <col min="12802" max="12802" width="3.5" style="1278" customWidth="1"/>
    <col min="12803" max="12803" width="21.5" style="1278" customWidth="1"/>
    <col min="12804" max="12804" width="4" style="1278" customWidth="1"/>
    <col min="12805" max="12805" width="5.33203125" style="1278" customWidth="1"/>
    <col min="12806" max="12806" width="15.33203125" style="1278" customWidth="1"/>
    <col min="12807" max="12814" width="14.33203125" style="1278" customWidth="1"/>
    <col min="12815" max="13056" width="9" style="1278"/>
    <col min="13057" max="13057" width="2.5" style="1278" customWidth="1"/>
    <col min="13058" max="13058" width="3.5" style="1278" customWidth="1"/>
    <col min="13059" max="13059" width="21.5" style="1278" customWidth="1"/>
    <col min="13060" max="13060" width="4" style="1278" customWidth="1"/>
    <col min="13061" max="13061" width="5.33203125" style="1278" customWidth="1"/>
    <col min="13062" max="13062" width="15.33203125" style="1278" customWidth="1"/>
    <col min="13063" max="13070" width="14.33203125" style="1278" customWidth="1"/>
    <col min="13071" max="13312" width="9" style="1278"/>
    <col min="13313" max="13313" width="2.5" style="1278" customWidth="1"/>
    <col min="13314" max="13314" width="3.5" style="1278" customWidth="1"/>
    <col min="13315" max="13315" width="21.5" style="1278" customWidth="1"/>
    <col min="13316" max="13316" width="4" style="1278" customWidth="1"/>
    <col min="13317" max="13317" width="5.33203125" style="1278" customWidth="1"/>
    <col min="13318" max="13318" width="15.33203125" style="1278" customWidth="1"/>
    <col min="13319" max="13326" width="14.33203125" style="1278" customWidth="1"/>
    <col min="13327" max="13568" width="9" style="1278"/>
    <col min="13569" max="13569" width="2.5" style="1278" customWidth="1"/>
    <col min="13570" max="13570" width="3.5" style="1278" customWidth="1"/>
    <col min="13571" max="13571" width="21.5" style="1278" customWidth="1"/>
    <col min="13572" max="13572" width="4" style="1278" customWidth="1"/>
    <col min="13573" max="13573" width="5.33203125" style="1278" customWidth="1"/>
    <col min="13574" max="13574" width="15.33203125" style="1278" customWidth="1"/>
    <col min="13575" max="13582" width="14.33203125" style="1278" customWidth="1"/>
    <col min="13583" max="13824" width="9" style="1278"/>
    <col min="13825" max="13825" width="2.5" style="1278" customWidth="1"/>
    <col min="13826" max="13826" width="3.5" style="1278" customWidth="1"/>
    <col min="13827" max="13827" width="21.5" style="1278" customWidth="1"/>
    <col min="13828" max="13828" width="4" style="1278" customWidth="1"/>
    <col min="13829" max="13829" width="5.33203125" style="1278" customWidth="1"/>
    <col min="13830" max="13830" width="15.33203125" style="1278" customWidth="1"/>
    <col min="13831" max="13838" width="14.33203125" style="1278" customWidth="1"/>
    <col min="13839" max="14080" width="9" style="1278"/>
    <col min="14081" max="14081" width="2.5" style="1278" customWidth="1"/>
    <col min="14082" max="14082" width="3.5" style="1278" customWidth="1"/>
    <col min="14083" max="14083" width="21.5" style="1278" customWidth="1"/>
    <col min="14084" max="14084" width="4" style="1278" customWidth="1"/>
    <col min="14085" max="14085" width="5.33203125" style="1278" customWidth="1"/>
    <col min="14086" max="14086" width="15.33203125" style="1278" customWidth="1"/>
    <col min="14087" max="14094" width="14.33203125" style="1278" customWidth="1"/>
    <col min="14095" max="14336" width="9" style="1278"/>
    <col min="14337" max="14337" width="2.5" style="1278" customWidth="1"/>
    <col min="14338" max="14338" width="3.5" style="1278" customWidth="1"/>
    <col min="14339" max="14339" width="21.5" style="1278" customWidth="1"/>
    <col min="14340" max="14340" width="4" style="1278" customWidth="1"/>
    <col min="14341" max="14341" width="5.33203125" style="1278" customWidth="1"/>
    <col min="14342" max="14342" width="15.33203125" style="1278" customWidth="1"/>
    <col min="14343" max="14350" width="14.33203125" style="1278" customWidth="1"/>
    <col min="14351" max="14592" width="9" style="1278"/>
    <col min="14593" max="14593" width="2.5" style="1278" customWidth="1"/>
    <col min="14594" max="14594" width="3.5" style="1278" customWidth="1"/>
    <col min="14595" max="14595" width="21.5" style="1278" customWidth="1"/>
    <col min="14596" max="14596" width="4" style="1278" customWidth="1"/>
    <col min="14597" max="14597" width="5.33203125" style="1278" customWidth="1"/>
    <col min="14598" max="14598" width="15.33203125" style="1278" customWidth="1"/>
    <col min="14599" max="14606" width="14.33203125" style="1278" customWidth="1"/>
    <col min="14607" max="14848" width="9" style="1278"/>
    <col min="14849" max="14849" width="2.5" style="1278" customWidth="1"/>
    <col min="14850" max="14850" width="3.5" style="1278" customWidth="1"/>
    <col min="14851" max="14851" width="21.5" style="1278" customWidth="1"/>
    <col min="14852" max="14852" width="4" style="1278" customWidth="1"/>
    <col min="14853" max="14853" width="5.33203125" style="1278" customWidth="1"/>
    <col min="14854" max="14854" width="15.33203125" style="1278" customWidth="1"/>
    <col min="14855" max="14862" width="14.33203125" style="1278" customWidth="1"/>
    <col min="14863" max="15104" width="9" style="1278"/>
    <col min="15105" max="15105" width="2.5" style="1278" customWidth="1"/>
    <col min="15106" max="15106" width="3.5" style="1278" customWidth="1"/>
    <col min="15107" max="15107" width="21.5" style="1278" customWidth="1"/>
    <col min="15108" max="15108" width="4" style="1278" customWidth="1"/>
    <col min="15109" max="15109" width="5.33203125" style="1278" customWidth="1"/>
    <col min="15110" max="15110" width="15.33203125" style="1278" customWidth="1"/>
    <col min="15111" max="15118" width="14.33203125" style="1278" customWidth="1"/>
    <col min="15119" max="15360" width="9" style="1278"/>
    <col min="15361" max="15361" width="2.5" style="1278" customWidth="1"/>
    <col min="15362" max="15362" width="3.5" style="1278" customWidth="1"/>
    <col min="15363" max="15363" width="21.5" style="1278" customWidth="1"/>
    <col min="15364" max="15364" width="4" style="1278" customWidth="1"/>
    <col min="15365" max="15365" width="5.33203125" style="1278" customWidth="1"/>
    <col min="15366" max="15366" width="15.33203125" style="1278" customWidth="1"/>
    <col min="15367" max="15374" width="14.33203125" style="1278" customWidth="1"/>
    <col min="15375" max="15616" width="9" style="1278"/>
    <col min="15617" max="15617" width="2.5" style="1278" customWidth="1"/>
    <col min="15618" max="15618" width="3.5" style="1278" customWidth="1"/>
    <col min="15619" max="15619" width="21.5" style="1278" customWidth="1"/>
    <col min="15620" max="15620" width="4" style="1278" customWidth="1"/>
    <col min="15621" max="15621" width="5.33203125" style="1278" customWidth="1"/>
    <col min="15622" max="15622" width="15.33203125" style="1278" customWidth="1"/>
    <col min="15623" max="15630" width="14.33203125" style="1278" customWidth="1"/>
    <col min="15631" max="15872" width="9" style="1278"/>
    <col min="15873" max="15873" width="2.5" style="1278" customWidth="1"/>
    <col min="15874" max="15874" width="3.5" style="1278" customWidth="1"/>
    <col min="15875" max="15875" width="21.5" style="1278" customWidth="1"/>
    <col min="15876" max="15876" width="4" style="1278" customWidth="1"/>
    <col min="15877" max="15877" width="5.33203125" style="1278" customWidth="1"/>
    <col min="15878" max="15878" width="15.33203125" style="1278" customWidth="1"/>
    <col min="15879" max="15886" width="14.33203125" style="1278" customWidth="1"/>
    <col min="15887" max="16128" width="9" style="1278"/>
    <col min="16129" max="16129" width="2.5" style="1278" customWidth="1"/>
    <col min="16130" max="16130" width="3.5" style="1278" customWidth="1"/>
    <col min="16131" max="16131" width="21.5" style="1278" customWidth="1"/>
    <col min="16132" max="16132" width="4" style="1278" customWidth="1"/>
    <col min="16133" max="16133" width="5.33203125" style="1278" customWidth="1"/>
    <col min="16134" max="16134" width="15.33203125" style="1278" customWidth="1"/>
    <col min="16135" max="16142" width="14.33203125" style="1278" customWidth="1"/>
    <col min="16143" max="16384" width="9" style="1278"/>
  </cols>
  <sheetData>
    <row r="1" spans="1:14" s="839" customFormat="1" ht="14">
      <c r="A1" s="833"/>
      <c r="B1" s="833"/>
      <c r="C1" s="834"/>
      <c r="D1" s="834"/>
      <c r="E1" s="835" t="s">
        <v>2501</v>
      </c>
      <c r="F1" s="2729" t="s">
        <v>2959</v>
      </c>
      <c r="G1" s="2729"/>
      <c r="H1" s="2729"/>
      <c r="I1" s="2729"/>
      <c r="J1" s="2729"/>
      <c r="K1" s="2729"/>
      <c r="L1" s="836"/>
      <c r="M1" s="837">
        <v>20180319</v>
      </c>
      <c r="N1" s="838" t="s">
        <v>2502</v>
      </c>
    </row>
    <row r="2" spans="1:14" s="839" customFormat="1" ht="13.5" customHeight="1">
      <c r="A2" s="833"/>
      <c r="B2" s="833"/>
      <c r="C2" s="2730" t="s">
        <v>2503</v>
      </c>
      <c r="D2" s="2730"/>
      <c r="E2" s="2730"/>
      <c r="F2" s="833" t="s">
        <v>2504</v>
      </c>
      <c r="G2" s="840">
        <v>0.74370000000000003</v>
      </c>
      <c r="H2" s="841"/>
      <c r="I2" s="2624" t="s">
        <v>2960</v>
      </c>
      <c r="K2" s="841"/>
      <c r="L2" s="841"/>
      <c r="M2" s="833"/>
      <c r="N2" s="841" t="s">
        <v>246</v>
      </c>
    </row>
    <row r="3" spans="1:14" s="839" customFormat="1" ht="14">
      <c r="A3" s="842"/>
      <c r="B3" s="843"/>
      <c r="C3" s="844"/>
      <c r="D3" s="845"/>
      <c r="E3" s="846"/>
      <c r="F3" s="847" t="s">
        <v>2505</v>
      </c>
      <c r="G3" s="2603" t="str">
        <f>G86</f>
        <v>工事6</v>
      </c>
      <c r="H3" s="848" t="str">
        <f t="shared" ref="H3:N3" si="0">H86</f>
        <v>工事7</v>
      </c>
      <c r="I3" s="2603" t="str">
        <f t="shared" si="0"/>
        <v>工事8</v>
      </c>
      <c r="J3" s="848">
        <f t="shared" si="0"/>
        <v>0</v>
      </c>
      <c r="K3" s="848">
        <f t="shared" si="0"/>
        <v>0</v>
      </c>
      <c r="L3" s="848">
        <f t="shared" si="0"/>
        <v>0</v>
      </c>
      <c r="M3" s="848">
        <f t="shared" si="0"/>
        <v>0</v>
      </c>
      <c r="N3" s="848">
        <f t="shared" si="0"/>
        <v>0</v>
      </c>
    </row>
    <row r="4" spans="1:14" s="839" customFormat="1" ht="13.5" customHeight="1">
      <c r="A4" s="842"/>
      <c r="B4" s="2731" t="s">
        <v>2506</v>
      </c>
      <c r="C4" s="2731"/>
      <c r="D4" s="2731"/>
      <c r="E4" s="846"/>
      <c r="F4" s="849">
        <f>SUM(G4:N4)</f>
        <v>7548681</v>
      </c>
      <c r="G4" s="850">
        <f>G80</f>
        <v>1925896</v>
      </c>
      <c r="H4" s="851">
        <f t="shared" ref="H4:N5" si="1">H80</f>
        <v>0</v>
      </c>
      <c r="I4" s="851">
        <f t="shared" si="1"/>
        <v>5622785</v>
      </c>
      <c r="J4" s="851">
        <f t="shared" si="1"/>
        <v>0</v>
      </c>
      <c r="K4" s="851">
        <f t="shared" si="1"/>
        <v>0</v>
      </c>
      <c r="L4" s="851">
        <f t="shared" si="1"/>
        <v>0</v>
      </c>
      <c r="M4" s="849">
        <f t="shared" si="1"/>
        <v>0</v>
      </c>
      <c r="N4" s="852">
        <f t="shared" si="1"/>
        <v>0</v>
      </c>
    </row>
    <row r="5" spans="1:14" s="839" customFormat="1" ht="13.5" customHeight="1">
      <c r="A5" s="853"/>
      <c r="B5" s="2732" t="s">
        <v>2507</v>
      </c>
      <c r="C5" s="2732"/>
      <c r="D5" s="2732"/>
      <c r="E5" s="854"/>
      <c r="F5" s="855">
        <f>SUM(G5:N5)</f>
        <v>1523319</v>
      </c>
      <c r="G5" s="856">
        <f>G81</f>
        <v>354104</v>
      </c>
      <c r="H5" s="857">
        <f t="shared" si="1"/>
        <v>0</v>
      </c>
      <c r="I5" s="857">
        <f t="shared" si="1"/>
        <v>1169215</v>
      </c>
      <c r="J5" s="857">
        <f t="shared" si="1"/>
        <v>0</v>
      </c>
      <c r="K5" s="857">
        <f t="shared" si="1"/>
        <v>0</v>
      </c>
      <c r="L5" s="857">
        <f t="shared" si="1"/>
        <v>0</v>
      </c>
      <c r="M5" s="855">
        <f t="shared" si="1"/>
        <v>0</v>
      </c>
      <c r="N5" s="858">
        <f t="shared" si="1"/>
        <v>0</v>
      </c>
    </row>
    <row r="6" spans="1:14" s="839" customFormat="1" ht="13.5" customHeight="1">
      <c r="A6" s="859"/>
      <c r="B6" s="2733" t="s">
        <v>234</v>
      </c>
      <c r="C6" s="2733"/>
      <c r="D6" s="2733"/>
      <c r="E6" s="860"/>
      <c r="F6" s="861">
        <f>SUM(G6:N6)</f>
        <v>9072000</v>
      </c>
      <c r="G6" s="862">
        <f t="shared" ref="G6:N6" si="2">G79</f>
        <v>2280000</v>
      </c>
      <c r="H6" s="863">
        <f t="shared" si="2"/>
        <v>0</v>
      </c>
      <c r="I6" s="863">
        <f t="shared" si="2"/>
        <v>6792000</v>
      </c>
      <c r="J6" s="863">
        <f t="shared" si="2"/>
        <v>0</v>
      </c>
      <c r="K6" s="863">
        <f t="shared" si="2"/>
        <v>0</v>
      </c>
      <c r="L6" s="863">
        <f t="shared" si="2"/>
        <v>0</v>
      </c>
      <c r="M6" s="861">
        <f t="shared" si="2"/>
        <v>0</v>
      </c>
      <c r="N6" s="864">
        <f t="shared" si="2"/>
        <v>0</v>
      </c>
    </row>
    <row r="7" spans="1:14" s="839" customFormat="1" ht="14">
      <c r="A7" s="853"/>
      <c r="B7" s="833"/>
      <c r="C7" s="865"/>
      <c r="D7" s="866"/>
      <c r="E7" s="867"/>
      <c r="F7" s="834"/>
      <c r="G7" s="868" t="s">
        <v>2508</v>
      </c>
      <c r="H7" s="869"/>
      <c r="I7" s="869"/>
      <c r="J7" s="869"/>
      <c r="K7" s="841"/>
      <c r="L7" s="841"/>
      <c r="M7" s="841"/>
      <c r="N7" s="841" t="s">
        <v>2509</v>
      </c>
    </row>
    <row r="8" spans="1:14" s="878" customFormat="1" ht="13.5" customHeight="1">
      <c r="A8" s="870"/>
      <c r="B8" s="871"/>
      <c r="C8" s="872" t="s">
        <v>2510</v>
      </c>
      <c r="D8" s="873"/>
      <c r="E8" s="874"/>
      <c r="F8" s="875" t="s">
        <v>2511</v>
      </c>
      <c r="G8" s="876">
        <f>G84</f>
        <v>16.600000000000001</v>
      </c>
      <c r="H8" s="876">
        <f t="shared" ref="H8:N8" si="3">H84</f>
        <v>11</v>
      </c>
      <c r="I8" s="876">
        <f t="shared" si="3"/>
        <v>16.600000000000001</v>
      </c>
      <c r="J8" s="876">
        <f t="shared" si="3"/>
        <v>0</v>
      </c>
      <c r="K8" s="876">
        <f t="shared" si="3"/>
        <v>0</v>
      </c>
      <c r="L8" s="876">
        <f t="shared" si="3"/>
        <v>0</v>
      </c>
      <c r="M8" s="876">
        <f t="shared" si="3"/>
        <v>0</v>
      </c>
      <c r="N8" s="877">
        <f t="shared" si="3"/>
        <v>0</v>
      </c>
    </row>
    <row r="9" spans="1:14" s="878" customFormat="1" ht="13.5" customHeight="1">
      <c r="A9" s="1285"/>
      <c r="B9" s="1286"/>
      <c r="C9" s="881" t="s">
        <v>2512</v>
      </c>
      <c r="D9" s="882"/>
      <c r="E9" s="883"/>
      <c r="F9" s="884" t="s">
        <v>2511</v>
      </c>
      <c r="G9" s="885" t="str">
        <f>IF(G85="","",G85)</f>
        <v>改修</v>
      </c>
      <c r="H9" s="885" t="str">
        <f t="shared" ref="H9:N9" si="4">IF(H85="","",H85)</f>
        <v>改修</v>
      </c>
      <c r="I9" s="885" t="str">
        <f t="shared" si="4"/>
        <v>改修</v>
      </c>
      <c r="J9" s="885" t="str">
        <f t="shared" si="4"/>
        <v/>
      </c>
      <c r="K9" s="885" t="str">
        <f t="shared" si="4"/>
        <v/>
      </c>
      <c r="L9" s="885" t="str">
        <f t="shared" si="4"/>
        <v/>
      </c>
      <c r="M9" s="885" t="str">
        <f t="shared" si="4"/>
        <v/>
      </c>
      <c r="N9" s="886" t="str">
        <f t="shared" si="4"/>
        <v/>
      </c>
    </row>
    <row r="10" spans="1:14" s="889" customFormat="1" ht="13.5" customHeight="1">
      <c r="A10" s="2734" t="s">
        <v>2513</v>
      </c>
      <c r="B10" s="2735"/>
      <c r="C10" s="2735"/>
      <c r="D10" s="2735"/>
      <c r="E10" s="2735"/>
      <c r="F10" s="2736"/>
      <c r="G10" s="887" t="str">
        <f>G88</f>
        <v>積上げ・率処理併用</v>
      </c>
      <c r="H10" s="887" t="str">
        <f t="shared" ref="H10:N12" si="5">H88</f>
        <v>積上げ・率処理併用</v>
      </c>
      <c r="I10" s="887" t="str">
        <f t="shared" si="5"/>
        <v>積上げ・率処理併用</v>
      </c>
      <c r="J10" s="887" t="str">
        <f t="shared" si="5"/>
        <v>積上げ・率処理併用</v>
      </c>
      <c r="K10" s="887" t="str">
        <f t="shared" si="5"/>
        <v>積上げ・率処理併用</v>
      </c>
      <c r="L10" s="887" t="str">
        <f t="shared" si="5"/>
        <v>積上げ・率処理併用</v>
      </c>
      <c r="M10" s="887" t="str">
        <f t="shared" si="5"/>
        <v>積上げ・率処理併用</v>
      </c>
      <c r="N10" s="888" t="str">
        <f t="shared" si="5"/>
        <v>積上げ・率処理併用</v>
      </c>
    </row>
    <row r="11" spans="1:14" s="889" customFormat="1" ht="30" customHeight="1">
      <c r="A11" s="2747" t="s">
        <v>2514</v>
      </c>
      <c r="B11" s="2748"/>
      <c r="C11" s="2748"/>
      <c r="D11" s="2748"/>
      <c r="E11" s="2748"/>
      <c r="F11" s="2749"/>
      <c r="G11" s="890" t="str">
        <f>G89</f>
        <v>駅施設</v>
      </c>
      <c r="H11" s="890" t="str">
        <f t="shared" si="5"/>
        <v>駅施設</v>
      </c>
      <c r="I11" s="890" t="str">
        <f t="shared" si="5"/>
        <v>駅施設</v>
      </c>
      <c r="J11" s="890" t="str">
        <f t="shared" si="5"/>
        <v>駅施設</v>
      </c>
      <c r="K11" s="890" t="str">
        <f t="shared" si="5"/>
        <v>駅施設</v>
      </c>
      <c r="L11" s="890" t="str">
        <f t="shared" si="5"/>
        <v>駅施設</v>
      </c>
      <c r="M11" s="890" t="str">
        <f t="shared" si="5"/>
        <v>駅施設</v>
      </c>
      <c r="N11" s="891" t="str">
        <f t="shared" si="5"/>
        <v>駅施設</v>
      </c>
    </row>
    <row r="12" spans="1:14" s="889" customFormat="1" ht="30" customHeight="1">
      <c r="A12" s="2750" t="s">
        <v>2515</v>
      </c>
      <c r="B12" s="2751"/>
      <c r="C12" s="2751"/>
      <c r="D12" s="2751"/>
      <c r="E12" s="2751"/>
      <c r="F12" s="2752"/>
      <c r="G12" s="892" t="str">
        <f>G90</f>
        <v>無し</v>
      </c>
      <c r="H12" s="892" t="str">
        <f t="shared" si="5"/>
        <v>無し</v>
      </c>
      <c r="I12" s="892" t="str">
        <f t="shared" si="5"/>
        <v>無し</v>
      </c>
      <c r="J12" s="892" t="str">
        <f t="shared" si="5"/>
        <v>無し</v>
      </c>
      <c r="K12" s="892" t="str">
        <f t="shared" si="5"/>
        <v>無し</v>
      </c>
      <c r="L12" s="892" t="str">
        <f t="shared" si="5"/>
        <v>無し</v>
      </c>
      <c r="M12" s="892" t="str">
        <f t="shared" si="5"/>
        <v>無し</v>
      </c>
      <c r="N12" s="893" t="str">
        <f t="shared" si="5"/>
        <v>無し</v>
      </c>
    </row>
    <row r="13" spans="1:14" s="889" customFormat="1" ht="13.5" customHeight="1">
      <c r="A13" s="870"/>
      <c r="B13" s="894" t="s">
        <v>2516</v>
      </c>
      <c r="C13" s="895"/>
      <c r="D13" s="895"/>
      <c r="E13" s="896"/>
      <c r="F13" s="897">
        <f>SUM(G13:N13)</f>
        <v>10150168</v>
      </c>
      <c r="G13" s="898">
        <f>+G14+G15</f>
        <v>2589614</v>
      </c>
      <c r="H13" s="898">
        <f t="shared" ref="H13:N13" si="6">+H14+H15</f>
        <v>0</v>
      </c>
      <c r="I13" s="898">
        <f t="shared" si="6"/>
        <v>7560554</v>
      </c>
      <c r="J13" s="898">
        <f t="shared" si="6"/>
        <v>0</v>
      </c>
      <c r="K13" s="898">
        <f t="shared" si="6"/>
        <v>0</v>
      </c>
      <c r="L13" s="898">
        <f t="shared" si="6"/>
        <v>0</v>
      </c>
      <c r="M13" s="898">
        <f t="shared" si="6"/>
        <v>0</v>
      </c>
      <c r="N13" s="899">
        <f t="shared" si="6"/>
        <v>0</v>
      </c>
    </row>
    <row r="14" spans="1:14" s="889" customFormat="1" ht="13.5" customHeight="1">
      <c r="A14" s="1285"/>
      <c r="B14" s="1286"/>
      <c r="C14" s="691" t="s">
        <v>2517</v>
      </c>
      <c r="D14" s="692"/>
      <c r="E14" s="874"/>
      <c r="F14" s="900">
        <f>SUM(G14:N14)</f>
        <v>8419002</v>
      </c>
      <c r="G14" s="901">
        <f>+工事4!I16</f>
        <v>2137442</v>
      </c>
      <c r="H14" s="901"/>
      <c r="I14" s="901">
        <f>+工事5!I16</f>
        <v>6281560</v>
      </c>
      <c r="J14" s="901"/>
      <c r="K14" s="901"/>
      <c r="L14" s="901"/>
      <c r="M14" s="901"/>
      <c r="N14" s="902"/>
    </row>
    <row r="15" spans="1:14" s="889" customFormat="1" ht="14">
      <c r="A15" s="1285"/>
      <c r="B15" s="1286"/>
      <c r="C15" s="698" t="s">
        <v>2518</v>
      </c>
      <c r="D15" s="698"/>
      <c r="E15" s="903"/>
      <c r="F15" s="904">
        <f>SUM(G15:N15)</f>
        <v>1731166</v>
      </c>
      <c r="G15" s="905">
        <f>G21+G22</f>
        <v>452172</v>
      </c>
      <c r="H15" s="905">
        <f t="shared" ref="H15:N15" si="7">H21+H22</f>
        <v>0</v>
      </c>
      <c r="I15" s="905">
        <f t="shared" si="7"/>
        <v>1278994</v>
      </c>
      <c r="J15" s="905">
        <f t="shared" si="7"/>
        <v>0</v>
      </c>
      <c r="K15" s="905">
        <f t="shared" si="7"/>
        <v>0</v>
      </c>
      <c r="L15" s="905">
        <f t="shared" si="7"/>
        <v>0</v>
      </c>
      <c r="M15" s="905">
        <f t="shared" si="7"/>
        <v>0</v>
      </c>
      <c r="N15" s="906">
        <f t="shared" si="7"/>
        <v>0</v>
      </c>
    </row>
    <row r="16" spans="1:14" s="889" customFormat="1" ht="13.5" customHeight="1">
      <c r="A16" s="1285"/>
      <c r="B16" s="1286"/>
      <c r="C16" s="907" t="s">
        <v>2519</v>
      </c>
      <c r="D16" s="698"/>
      <c r="E16" s="903"/>
      <c r="F16" s="904">
        <f>SUM(G16:N16)</f>
        <v>231808</v>
      </c>
      <c r="G16" s="905">
        <f>G390-G174</f>
        <v>49761</v>
      </c>
      <c r="H16" s="905">
        <f t="shared" ref="H16:N16" si="8">H390-H174</f>
        <v>-5482</v>
      </c>
      <c r="I16" s="905">
        <f t="shared" si="8"/>
        <v>187529</v>
      </c>
      <c r="J16" s="905">
        <f t="shared" si="8"/>
        <v>0</v>
      </c>
      <c r="K16" s="905">
        <f t="shared" si="8"/>
        <v>0</v>
      </c>
      <c r="L16" s="905">
        <f t="shared" si="8"/>
        <v>0</v>
      </c>
      <c r="M16" s="905">
        <f t="shared" si="8"/>
        <v>0</v>
      </c>
      <c r="N16" s="906">
        <f t="shared" si="8"/>
        <v>0</v>
      </c>
    </row>
    <row r="17" spans="1:39" s="889" customFormat="1" ht="13.5" customHeight="1">
      <c r="A17" s="1285"/>
      <c r="B17" s="1286"/>
      <c r="C17" s="907" t="s">
        <v>2520</v>
      </c>
      <c r="D17" s="698"/>
      <c r="E17" s="903"/>
      <c r="F17" s="904">
        <f>SUM(G17:AM17)</f>
        <v>-5482</v>
      </c>
      <c r="G17" s="905">
        <f>IF(AND(G14=0,G8=G84,G12="無し"),G16,0)</f>
        <v>0</v>
      </c>
      <c r="H17" s="905">
        <f t="shared" ref="H17:N17" si="9">IF(AND(H14=0,H8=H84,H12="無し"),H16,0)</f>
        <v>-5482</v>
      </c>
      <c r="I17" s="905">
        <f t="shared" si="9"/>
        <v>0</v>
      </c>
      <c r="J17" s="905">
        <f t="shared" si="9"/>
        <v>0</v>
      </c>
      <c r="K17" s="905">
        <f t="shared" si="9"/>
        <v>0</v>
      </c>
      <c r="L17" s="905">
        <f t="shared" si="9"/>
        <v>0</v>
      </c>
      <c r="M17" s="905">
        <f t="shared" si="9"/>
        <v>0</v>
      </c>
      <c r="N17" s="906">
        <f t="shared" si="9"/>
        <v>0</v>
      </c>
      <c r="O17" s="908"/>
      <c r="P17" s="908"/>
      <c r="Q17" s="908"/>
      <c r="R17" s="908"/>
      <c r="S17" s="908"/>
      <c r="T17" s="908"/>
      <c r="U17" s="908"/>
      <c r="V17" s="908"/>
      <c r="W17" s="908"/>
      <c r="X17" s="908"/>
      <c r="Y17" s="908"/>
      <c r="Z17" s="908"/>
      <c r="AA17" s="908"/>
      <c r="AB17" s="908"/>
      <c r="AC17" s="908"/>
      <c r="AD17" s="908"/>
      <c r="AE17" s="908"/>
      <c r="AF17" s="908"/>
      <c r="AG17" s="908"/>
      <c r="AH17" s="908"/>
      <c r="AI17" s="908"/>
      <c r="AJ17" s="908"/>
      <c r="AK17" s="908"/>
      <c r="AL17" s="908"/>
      <c r="AM17" s="908"/>
    </row>
    <row r="18" spans="1:39" s="889" customFormat="1" ht="13.5" customHeight="1">
      <c r="A18" s="1285"/>
      <c r="B18" s="1286"/>
      <c r="C18" s="907" t="s">
        <v>2521</v>
      </c>
      <c r="D18" s="698"/>
      <c r="E18" s="903"/>
      <c r="F18" s="904">
        <f>SUM(G18:AM18)</f>
        <v>8419002</v>
      </c>
      <c r="G18" s="905">
        <f>G14-G43</f>
        <v>2137442</v>
      </c>
      <c r="H18" s="905">
        <f t="shared" ref="H18:N18" si="10">H14-H43</f>
        <v>0</v>
      </c>
      <c r="I18" s="905">
        <f t="shared" si="10"/>
        <v>6281560</v>
      </c>
      <c r="J18" s="905">
        <f t="shared" si="10"/>
        <v>0</v>
      </c>
      <c r="K18" s="905">
        <f t="shared" si="10"/>
        <v>0</v>
      </c>
      <c r="L18" s="905">
        <f t="shared" si="10"/>
        <v>0</v>
      </c>
      <c r="M18" s="905">
        <f t="shared" si="10"/>
        <v>0</v>
      </c>
      <c r="N18" s="906">
        <f t="shared" si="10"/>
        <v>0</v>
      </c>
      <c r="O18" s="908"/>
      <c r="P18" s="908"/>
      <c r="Q18" s="908"/>
      <c r="R18" s="908"/>
      <c r="S18" s="908"/>
      <c r="T18" s="908"/>
      <c r="U18" s="908"/>
      <c r="V18" s="908"/>
      <c r="W18" s="908"/>
      <c r="X18" s="908"/>
      <c r="Y18" s="908"/>
      <c r="Z18" s="908"/>
      <c r="AA18" s="908"/>
      <c r="AB18" s="908"/>
      <c r="AC18" s="908"/>
      <c r="AD18" s="908"/>
      <c r="AE18" s="908"/>
      <c r="AF18" s="908"/>
      <c r="AG18" s="908"/>
      <c r="AH18" s="908"/>
      <c r="AI18" s="908"/>
      <c r="AJ18" s="908"/>
      <c r="AK18" s="908"/>
      <c r="AL18" s="908"/>
      <c r="AM18" s="908"/>
    </row>
    <row r="19" spans="1:39" s="889" customFormat="1" ht="13.5" customHeight="1">
      <c r="A19" s="1285"/>
      <c r="B19" s="1286"/>
      <c r="C19" s="907" t="s">
        <v>2522</v>
      </c>
      <c r="D19" s="698"/>
      <c r="E19" s="903"/>
      <c r="F19" s="904">
        <f>SUM(G19:AM19)</f>
        <v>-5483</v>
      </c>
      <c r="G19" s="905">
        <f>IF($F$17=0,0,(IF(G17=0,INT(G18/$F18*$F17),0)))</f>
        <v>-1392</v>
      </c>
      <c r="H19" s="905">
        <f t="shared" ref="H19:N19" si="11">IF($F$17=0,0,(IF(H17=0,INT(H18/$F18*$F17),0)))</f>
        <v>0</v>
      </c>
      <c r="I19" s="905">
        <f t="shared" si="11"/>
        <v>-4091</v>
      </c>
      <c r="J19" s="905">
        <f t="shared" si="11"/>
        <v>0</v>
      </c>
      <c r="K19" s="905">
        <f t="shared" si="11"/>
        <v>0</v>
      </c>
      <c r="L19" s="905">
        <f t="shared" si="11"/>
        <v>0</v>
      </c>
      <c r="M19" s="905">
        <f t="shared" si="11"/>
        <v>0</v>
      </c>
      <c r="N19" s="906">
        <f t="shared" si="11"/>
        <v>0</v>
      </c>
      <c r="O19" s="908"/>
      <c r="P19" s="908"/>
      <c r="Q19" s="908"/>
      <c r="R19" s="908"/>
      <c r="S19" s="908"/>
      <c r="T19" s="908"/>
      <c r="U19" s="908"/>
      <c r="V19" s="908"/>
      <c r="W19" s="908"/>
      <c r="X19" s="908"/>
      <c r="Y19" s="908"/>
      <c r="Z19" s="908"/>
      <c r="AA19" s="908"/>
      <c r="AB19" s="908"/>
      <c r="AC19" s="908"/>
      <c r="AD19" s="908"/>
      <c r="AE19" s="908"/>
      <c r="AF19" s="908"/>
      <c r="AG19" s="908"/>
      <c r="AH19" s="908"/>
      <c r="AI19" s="908"/>
      <c r="AJ19" s="908"/>
      <c r="AK19" s="908"/>
      <c r="AL19" s="908"/>
      <c r="AM19" s="908"/>
    </row>
    <row r="20" spans="1:39" s="889" customFormat="1" ht="13.5" customHeight="1">
      <c r="A20" s="1285"/>
      <c r="B20" s="1286"/>
      <c r="C20" s="909" t="s">
        <v>2523</v>
      </c>
      <c r="D20" s="698"/>
      <c r="E20" s="903"/>
      <c r="F20" s="904">
        <f>F17-F19</f>
        <v>1</v>
      </c>
      <c r="G20" s="910">
        <f>IF($F20=0,0,IF(G19=0,0,$F20))</f>
        <v>1</v>
      </c>
      <c r="H20" s="910">
        <f t="shared" ref="H20:N20" si="12">IF($F20=0,0,IF(H19=0,0,$F20))</f>
        <v>0</v>
      </c>
      <c r="I20" s="910">
        <f t="shared" si="12"/>
        <v>1</v>
      </c>
      <c r="J20" s="910">
        <f t="shared" si="12"/>
        <v>0</v>
      </c>
      <c r="K20" s="910">
        <f t="shared" si="12"/>
        <v>0</v>
      </c>
      <c r="L20" s="910">
        <f t="shared" si="12"/>
        <v>0</v>
      </c>
      <c r="M20" s="910">
        <f t="shared" si="12"/>
        <v>0</v>
      </c>
      <c r="N20" s="911">
        <f t="shared" si="12"/>
        <v>0</v>
      </c>
      <c r="O20" s="912"/>
      <c r="P20" s="912"/>
      <c r="Q20" s="912"/>
      <c r="R20" s="912"/>
      <c r="S20" s="912"/>
      <c r="T20" s="912"/>
      <c r="U20" s="912"/>
      <c r="V20" s="912"/>
      <c r="W20" s="912"/>
      <c r="X20" s="912"/>
      <c r="Y20" s="912"/>
      <c r="Z20" s="912"/>
      <c r="AA20" s="912"/>
      <c r="AB20" s="912"/>
      <c r="AC20" s="912"/>
      <c r="AD20" s="912"/>
      <c r="AE20" s="912"/>
      <c r="AF20" s="912"/>
      <c r="AG20" s="912"/>
      <c r="AH20" s="912"/>
      <c r="AI20" s="912"/>
      <c r="AJ20" s="912"/>
      <c r="AK20" s="912"/>
      <c r="AL20" s="912"/>
      <c r="AM20" s="912"/>
    </row>
    <row r="21" spans="1:39" s="889" customFormat="1" ht="13.5" customHeight="1">
      <c r="A21" s="1285"/>
      <c r="B21" s="1286"/>
      <c r="C21" s="907" t="s">
        <v>2524</v>
      </c>
      <c r="D21" s="698"/>
      <c r="E21" s="903"/>
      <c r="F21" s="904">
        <f>SUM(G21:AM21)</f>
        <v>231809</v>
      </c>
      <c r="G21" s="910">
        <f>IF(G43="",IF(AND(G14=0,G8=G84,G12="無し"),0,G16+G19+G20))</f>
        <v>48370</v>
      </c>
      <c r="H21" s="910">
        <f t="shared" ref="H21:N21" si="13">IF(H43="",IF(H14=0,IF(H8=H84,0,H16+H19+H20),H16+H19+H20),0)</f>
        <v>0</v>
      </c>
      <c r="I21" s="910">
        <f t="shared" si="13"/>
        <v>183439</v>
      </c>
      <c r="J21" s="910">
        <f t="shared" si="13"/>
        <v>0</v>
      </c>
      <c r="K21" s="910">
        <f t="shared" si="13"/>
        <v>0</v>
      </c>
      <c r="L21" s="910">
        <f t="shared" si="13"/>
        <v>0</v>
      </c>
      <c r="M21" s="910">
        <f t="shared" si="13"/>
        <v>0</v>
      </c>
      <c r="N21" s="911">
        <f t="shared" si="13"/>
        <v>0</v>
      </c>
      <c r="O21" s="912"/>
      <c r="P21" s="912"/>
      <c r="Q21" s="912"/>
      <c r="R21" s="912"/>
      <c r="S21" s="912"/>
      <c r="T21" s="912"/>
      <c r="U21" s="912"/>
      <c r="V21" s="912"/>
      <c r="W21" s="912"/>
      <c r="X21" s="912"/>
      <c r="Y21" s="912"/>
      <c r="Z21" s="912"/>
      <c r="AA21" s="912"/>
      <c r="AB21" s="912"/>
      <c r="AC21" s="912"/>
      <c r="AD21" s="912"/>
      <c r="AE21" s="912"/>
      <c r="AF21" s="912"/>
      <c r="AG21" s="912"/>
      <c r="AH21" s="912"/>
      <c r="AI21" s="912"/>
      <c r="AJ21" s="912"/>
      <c r="AK21" s="912"/>
      <c r="AL21" s="912"/>
      <c r="AM21" s="912"/>
    </row>
    <row r="22" spans="1:39" s="889" customFormat="1" ht="14">
      <c r="A22" s="1285"/>
      <c r="B22" s="1286"/>
      <c r="C22" s="907" t="s">
        <v>2525</v>
      </c>
      <c r="D22" s="698"/>
      <c r="E22" s="903"/>
      <c r="F22" s="904">
        <f>SUM(G22:N22)</f>
        <v>1499357</v>
      </c>
      <c r="G22" s="913">
        <f>+工事4!I45</f>
        <v>403802</v>
      </c>
      <c r="H22" s="913"/>
      <c r="I22" s="913">
        <f>+工事5!I45</f>
        <v>1095555</v>
      </c>
      <c r="J22" s="913"/>
      <c r="K22" s="913"/>
      <c r="L22" s="913"/>
      <c r="M22" s="913"/>
      <c r="N22" s="914"/>
    </row>
    <row r="23" spans="1:39" s="889" customFormat="1" ht="13.5" customHeight="1">
      <c r="A23" s="1285"/>
      <c r="B23" s="1286"/>
      <c r="C23" s="915" t="s">
        <v>2526</v>
      </c>
      <c r="D23" s="698"/>
      <c r="E23" s="903"/>
      <c r="F23" s="904">
        <f>SUM(G23:N23)</f>
        <v>0</v>
      </c>
      <c r="G23" s="913"/>
      <c r="H23" s="913"/>
      <c r="I23" s="913"/>
      <c r="J23" s="913"/>
      <c r="K23" s="913"/>
      <c r="L23" s="913"/>
      <c r="M23" s="913"/>
      <c r="N23" s="914"/>
    </row>
    <row r="24" spans="1:39" s="889" customFormat="1" ht="14">
      <c r="A24" s="1285"/>
      <c r="B24" s="1286"/>
      <c r="C24" s="916" t="s">
        <v>2527</v>
      </c>
      <c r="D24" s="917"/>
      <c r="E24" s="918"/>
      <c r="F24" s="919">
        <f>SUM(G24:N24)</f>
        <v>0</v>
      </c>
      <c r="G24" s="920"/>
      <c r="H24" s="920"/>
      <c r="I24" s="920"/>
      <c r="J24" s="920"/>
      <c r="K24" s="920"/>
      <c r="L24" s="920"/>
      <c r="M24" s="920"/>
      <c r="N24" s="921"/>
    </row>
    <row r="25" spans="1:39" s="889" customFormat="1" ht="13.5" customHeight="1">
      <c r="A25" s="922" t="s">
        <v>2528</v>
      </c>
      <c r="B25" s="923"/>
      <c r="C25" s="924"/>
      <c r="D25" s="924"/>
      <c r="E25" s="925"/>
      <c r="F25" s="926"/>
      <c r="G25" s="927"/>
      <c r="H25" s="927"/>
      <c r="I25" s="927"/>
      <c r="J25" s="927"/>
      <c r="K25" s="927"/>
      <c r="L25" s="927"/>
      <c r="M25" s="927"/>
      <c r="N25" s="928"/>
    </row>
    <row r="26" spans="1:39" s="889" customFormat="1" ht="14">
      <c r="A26" s="2753"/>
      <c r="B26" s="2755" t="s">
        <v>2529</v>
      </c>
      <c r="C26" s="692" t="s">
        <v>2530</v>
      </c>
      <c r="D26" s="692"/>
      <c r="E26" s="875"/>
      <c r="F26" s="900">
        <f t="shared" ref="F26:F32" si="14">SUM(G26:N26)</f>
        <v>0</v>
      </c>
      <c r="G26" s="901"/>
      <c r="H26" s="901"/>
      <c r="I26" s="901">
        <f t="shared" ref="I26:N26" si="15">IF(I9="新営",I14-SUM(I28:I39)-I43-I42,0)</f>
        <v>0</v>
      </c>
      <c r="J26" s="901">
        <f t="shared" si="15"/>
        <v>0</v>
      </c>
      <c r="K26" s="901">
        <f t="shared" si="15"/>
        <v>0</v>
      </c>
      <c r="L26" s="901">
        <f t="shared" si="15"/>
        <v>0</v>
      </c>
      <c r="M26" s="901">
        <f t="shared" si="15"/>
        <v>0</v>
      </c>
      <c r="N26" s="902">
        <f t="shared" si="15"/>
        <v>0</v>
      </c>
    </row>
    <row r="27" spans="1:39" s="889" customFormat="1" ht="14">
      <c r="A27" s="2753"/>
      <c r="B27" s="2756"/>
      <c r="C27" s="699" t="s">
        <v>2531</v>
      </c>
      <c r="D27" s="699"/>
      <c r="E27" s="903"/>
      <c r="F27" s="904">
        <f t="shared" si="14"/>
        <v>7741698</v>
      </c>
      <c r="G27" s="905">
        <f>IF(G9="改修",G14-SUM(G28:G39)-G43-G42,0)</f>
        <v>1461344</v>
      </c>
      <c r="H27" s="905">
        <f t="shared" ref="H27:N27" si="16">IF(H9="改修",H14-SUM(H28:H39)-H43-H42,0)</f>
        <v>0</v>
      </c>
      <c r="I27" s="905">
        <f t="shared" si="16"/>
        <v>6280354</v>
      </c>
      <c r="J27" s="905">
        <f t="shared" si="16"/>
        <v>0</v>
      </c>
      <c r="K27" s="905">
        <f t="shared" si="16"/>
        <v>0</v>
      </c>
      <c r="L27" s="905">
        <f t="shared" si="16"/>
        <v>0</v>
      </c>
      <c r="M27" s="905">
        <f t="shared" si="16"/>
        <v>0</v>
      </c>
      <c r="N27" s="906">
        <f t="shared" si="16"/>
        <v>0</v>
      </c>
    </row>
    <row r="28" spans="1:39" s="889" customFormat="1" ht="14">
      <c r="A28" s="2753"/>
      <c r="B28" s="2756"/>
      <c r="C28" s="929" t="s">
        <v>2532</v>
      </c>
      <c r="D28" s="699"/>
      <c r="E28" s="903"/>
      <c r="F28" s="904">
        <f t="shared" si="14"/>
        <v>0</v>
      </c>
      <c r="G28" s="913"/>
      <c r="H28" s="913"/>
      <c r="I28" s="913"/>
      <c r="J28" s="913"/>
      <c r="K28" s="913"/>
      <c r="L28" s="913"/>
      <c r="M28" s="913"/>
      <c r="N28" s="914"/>
    </row>
    <row r="29" spans="1:39" s="889" customFormat="1" ht="14">
      <c r="A29" s="2753"/>
      <c r="B29" s="2757"/>
      <c r="C29" s="929" t="s">
        <v>2533</v>
      </c>
      <c r="D29" s="699"/>
      <c r="E29" s="903"/>
      <c r="F29" s="904">
        <f t="shared" si="14"/>
        <v>0</v>
      </c>
      <c r="G29" s="913"/>
      <c r="H29" s="913"/>
      <c r="I29" s="913"/>
      <c r="J29" s="913"/>
      <c r="K29" s="913"/>
      <c r="L29" s="913"/>
      <c r="M29" s="913"/>
      <c r="N29" s="914"/>
    </row>
    <row r="30" spans="1:39" s="889" customFormat="1" ht="13.5" customHeight="1">
      <c r="A30" s="2753"/>
      <c r="B30" s="2758" t="s">
        <v>2534</v>
      </c>
      <c r="C30" s="698" t="s">
        <v>2535</v>
      </c>
      <c r="D30" s="699"/>
      <c r="E30" s="903"/>
      <c r="F30" s="904">
        <f t="shared" si="14"/>
        <v>0</v>
      </c>
      <c r="G30" s="913"/>
      <c r="H30" s="913"/>
      <c r="I30" s="913"/>
      <c r="J30" s="913"/>
      <c r="K30" s="913"/>
      <c r="L30" s="913"/>
      <c r="M30" s="913"/>
      <c r="N30" s="914"/>
    </row>
    <row r="31" spans="1:39" s="889" customFormat="1" ht="14">
      <c r="A31" s="2753"/>
      <c r="B31" s="2756"/>
      <c r="C31" s="698" t="s">
        <v>2536</v>
      </c>
      <c r="D31" s="699"/>
      <c r="E31" s="903"/>
      <c r="F31" s="904">
        <f t="shared" si="14"/>
        <v>0</v>
      </c>
      <c r="G31" s="913"/>
      <c r="H31" s="913"/>
      <c r="I31" s="913"/>
      <c r="J31" s="913"/>
      <c r="K31" s="913"/>
      <c r="L31" s="913"/>
      <c r="M31" s="913"/>
      <c r="N31" s="914"/>
    </row>
    <row r="32" spans="1:39" s="889" customFormat="1" ht="14">
      <c r="A32" s="2753"/>
      <c r="B32" s="2756"/>
      <c r="C32" s="699" t="s">
        <v>2537</v>
      </c>
      <c r="D32" s="699"/>
      <c r="E32" s="903"/>
      <c r="F32" s="904">
        <f t="shared" si="14"/>
        <v>674800</v>
      </c>
      <c r="G32" s="913">
        <f>+工事4!I125</f>
        <v>674800</v>
      </c>
      <c r="H32" s="913"/>
      <c r="I32" s="913"/>
      <c r="J32" s="913"/>
      <c r="K32" s="913"/>
      <c r="L32" s="913"/>
      <c r="M32" s="913"/>
      <c r="N32" s="914"/>
    </row>
    <row r="33" spans="1:14" s="889" customFormat="1" ht="13.5" customHeight="1">
      <c r="A33" s="2753"/>
      <c r="B33" s="2756"/>
      <c r="C33" s="699" t="s">
        <v>2538</v>
      </c>
      <c r="D33" s="699"/>
      <c r="E33" s="903"/>
      <c r="F33" s="904"/>
      <c r="G33" s="905"/>
      <c r="H33" s="905"/>
      <c r="I33" s="905"/>
      <c r="J33" s="905"/>
      <c r="K33" s="905"/>
      <c r="L33" s="905"/>
      <c r="M33" s="905"/>
      <c r="N33" s="906"/>
    </row>
    <row r="34" spans="1:14" s="889" customFormat="1" ht="14">
      <c r="A34" s="2753"/>
      <c r="B34" s="2756"/>
      <c r="C34" s="699" t="s">
        <v>2539</v>
      </c>
      <c r="D34" s="699"/>
      <c r="E34" s="903"/>
      <c r="F34" s="904"/>
      <c r="G34" s="905"/>
      <c r="H34" s="905"/>
      <c r="I34" s="905"/>
      <c r="J34" s="905"/>
      <c r="K34" s="905"/>
      <c r="L34" s="905"/>
      <c r="M34" s="905"/>
      <c r="N34" s="906"/>
    </row>
    <row r="35" spans="1:14" s="889" customFormat="1" ht="14">
      <c r="A35" s="2753"/>
      <c r="B35" s="2756"/>
      <c r="C35" s="699" t="s">
        <v>2540</v>
      </c>
      <c r="D35" s="699"/>
      <c r="E35" s="903"/>
      <c r="F35" s="904">
        <f t="shared" ref="F35:F45" si="17">SUM(G35:N35)</f>
        <v>0</v>
      </c>
      <c r="G35" s="913"/>
      <c r="H35" s="913"/>
      <c r="I35" s="913"/>
      <c r="J35" s="913"/>
      <c r="K35" s="913"/>
      <c r="L35" s="913"/>
      <c r="M35" s="913"/>
      <c r="N35" s="914"/>
    </row>
    <row r="36" spans="1:14" s="889" customFormat="1" ht="14">
      <c r="A36" s="2753"/>
      <c r="B36" s="2756"/>
      <c r="C36" s="930" t="s">
        <v>2541</v>
      </c>
      <c r="D36" s="699"/>
      <c r="E36" s="903"/>
      <c r="F36" s="904">
        <f t="shared" si="17"/>
        <v>0</v>
      </c>
      <c r="G36" s="913"/>
      <c r="H36" s="913"/>
      <c r="I36" s="913"/>
      <c r="J36" s="913"/>
      <c r="K36" s="913"/>
      <c r="L36" s="913"/>
      <c r="M36" s="913"/>
      <c r="N36" s="914"/>
    </row>
    <row r="37" spans="1:14" s="889" customFormat="1" ht="14">
      <c r="A37" s="2753"/>
      <c r="B37" s="2756"/>
      <c r="C37" s="931" t="s">
        <v>2542</v>
      </c>
      <c r="D37" s="699"/>
      <c r="E37" s="903"/>
      <c r="F37" s="904">
        <f t="shared" si="17"/>
        <v>0</v>
      </c>
      <c r="G37" s="913"/>
      <c r="H37" s="913"/>
      <c r="I37" s="913"/>
      <c r="J37" s="913"/>
      <c r="K37" s="913"/>
      <c r="L37" s="913"/>
      <c r="M37" s="913"/>
      <c r="N37" s="914"/>
    </row>
    <row r="38" spans="1:14" s="889" customFormat="1" ht="14">
      <c r="A38" s="2753"/>
      <c r="B38" s="2757"/>
      <c r="C38" s="699" t="s">
        <v>2543</v>
      </c>
      <c r="D38" s="699"/>
      <c r="E38" s="903"/>
      <c r="F38" s="904">
        <f t="shared" si="17"/>
        <v>0</v>
      </c>
      <c r="G38" s="913"/>
      <c r="H38" s="913"/>
      <c r="I38" s="913"/>
      <c r="J38" s="913"/>
      <c r="K38" s="913"/>
      <c r="L38" s="913"/>
      <c r="M38" s="913"/>
      <c r="N38" s="914"/>
    </row>
    <row r="39" spans="1:14" s="889" customFormat="1" ht="14">
      <c r="A39" s="2753"/>
      <c r="B39" s="2758" t="s">
        <v>2544</v>
      </c>
      <c r="C39" s="929" t="s">
        <v>2545</v>
      </c>
      <c r="D39" s="699"/>
      <c r="E39" s="903"/>
      <c r="F39" s="904">
        <f t="shared" si="17"/>
        <v>2504</v>
      </c>
      <c r="G39" s="913">
        <f>+工事4!I148</f>
        <v>1298</v>
      </c>
      <c r="H39" s="913"/>
      <c r="I39" s="913">
        <f>+工事5!I155+工事5!I156</f>
        <v>1206</v>
      </c>
      <c r="J39" s="913"/>
      <c r="K39" s="913"/>
      <c r="L39" s="913"/>
      <c r="M39" s="913"/>
      <c r="N39" s="914"/>
    </row>
    <row r="40" spans="1:14" s="889" customFormat="1" ht="14">
      <c r="A40" s="2753"/>
      <c r="B40" s="2756"/>
      <c r="C40" s="929" t="s">
        <v>2546</v>
      </c>
      <c r="D40" s="699"/>
      <c r="E40" s="903"/>
      <c r="F40" s="904">
        <f t="shared" si="17"/>
        <v>0</v>
      </c>
      <c r="G40" s="905">
        <f t="shared" ref="G40:N40" si="18">+G24</f>
        <v>0</v>
      </c>
      <c r="H40" s="905">
        <f t="shared" si="18"/>
        <v>0</v>
      </c>
      <c r="I40" s="905">
        <f t="shared" si="18"/>
        <v>0</v>
      </c>
      <c r="J40" s="905">
        <f t="shared" si="18"/>
        <v>0</v>
      </c>
      <c r="K40" s="905">
        <f t="shared" si="18"/>
        <v>0</v>
      </c>
      <c r="L40" s="905">
        <f t="shared" si="18"/>
        <v>0</v>
      </c>
      <c r="M40" s="905">
        <f t="shared" si="18"/>
        <v>0</v>
      </c>
      <c r="N40" s="906">
        <f t="shared" si="18"/>
        <v>0</v>
      </c>
    </row>
    <row r="41" spans="1:14" s="889" customFormat="1" ht="14">
      <c r="A41" s="2753"/>
      <c r="B41" s="2756"/>
      <c r="C41" s="699" t="s">
        <v>2547</v>
      </c>
      <c r="D41" s="699"/>
      <c r="E41" s="903"/>
      <c r="F41" s="904">
        <f t="shared" si="17"/>
        <v>0</v>
      </c>
      <c r="G41" s="905">
        <f t="shared" ref="G41:N41" si="19">+G23</f>
        <v>0</v>
      </c>
      <c r="H41" s="905">
        <f t="shared" si="19"/>
        <v>0</v>
      </c>
      <c r="I41" s="905">
        <f t="shared" si="19"/>
        <v>0</v>
      </c>
      <c r="J41" s="905">
        <f t="shared" si="19"/>
        <v>0</v>
      </c>
      <c r="K41" s="905">
        <f t="shared" si="19"/>
        <v>0</v>
      </c>
      <c r="L41" s="905">
        <f t="shared" si="19"/>
        <v>0</v>
      </c>
      <c r="M41" s="905">
        <f t="shared" si="19"/>
        <v>0</v>
      </c>
      <c r="N41" s="906">
        <f t="shared" si="19"/>
        <v>0</v>
      </c>
    </row>
    <row r="42" spans="1:14" s="889" customFormat="1" ht="14">
      <c r="A42" s="2753"/>
      <c r="B42" s="2756"/>
      <c r="C42" s="699" t="s">
        <v>2548</v>
      </c>
      <c r="D42" s="699"/>
      <c r="E42" s="903"/>
      <c r="F42" s="904">
        <f t="shared" si="17"/>
        <v>0</v>
      </c>
      <c r="G42" s="913"/>
      <c r="H42" s="913"/>
      <c r="I42" s="913"/>
      <c r="J42" s="913"/>
      <c r="K42" s="913"/>
      <c r="L42" s="913"/>
      <c r="M42" s="913"/>
      <c r="N42" s="914"/>
    </row>
    <row r="43" spans="1:14" s="889" customFormat="1" ht="13.5" customHeight="1">
      <c r="A43" s="2753"/>
      <c r="B43" s="2756"/>
      <c r="C43" s="932" t="s">
        <v>2549</v>
      </c>
      <c r="D43" s="933"/>
      <c r="E43" s="934"/>
      <c r="F43" s="904">
        <f t="shared" si="17"/>
        <v>0</v>
      </c>
      <c r="G43" s="935"/>
      <c r="H43" s="935"/>
      <c r="I43" s="935"/>
      <c r="J43" s="935"/>
      <c r="K43" s="935"/>
      <c r="L43" s="935"/>
      <c r="M43" s="935"/>
      <c r="N43" s="936"/>
    </row>
    <row r="44" spans="1:14" s="889" customFormat="1" ht="14">
      <c r="A44" s="2753"/>
      <c r="B44" s="2756"/>
      <c r="C44" s="932" t="s">
        <v>2550</v>
      </c>
      <c r="D44" s="933"/>
      <c r="E44" s="934"/>
      <c r="F44" s="904">
        <f t="shared" si="17"/>
        <v>0</v>
      </c>
      <c r="G44" s="935"/>
      <c r="H44" s="935"/>
      <c r="I44" s="935"/>
      <c r="J44" s="935"/>
      <c r="K44" s="935"/>
      <c r="L44" s="935"/>
      <c r="M44" s="935"/>
      <c r="N44" s="936"/>
    </row>
    <row r="45" spans="1:14" s="889" customFormat="1" ht="14">
      <c r="A45" s="2754"/>
      <c r="B45" s="2759"/>
      <c r="C45" s="937" t="s">
        <v>2551</v>
      </c>
      <c r="D45" s="937"/>
      <c r="E45" s="938"/>
      <c r="F45" s="939">
        <f t="shared" si="17"/>
        <v>0</v>
      </c>
      <c r="G45" s="940"/>
      <c r="H45" s="940"/>
      <c r="I45" s="940"/>
      <c r="J45" s="940"/>
      <c r="K45" s="940"/>
      <c r="L45" s="940"/>
      <c r="M45" s="940"/>
      <c r="N45" s="941"/>
    </row>
    <row r="46" spans="1:14" s="839" customFormat="1" ht="13.5" customHeight="1">
      <c r="A46" s="2737" t="s">
        <v>2552</v>
      </c>
      <c r="B46" s="2738"/>
      <c r="C46" s="2739"/>
      <c r="D46" s="942"/>
      <c r="E46" s="943"/>
      <c r="F46" s="944"/>
      <c r="G46" s="945"/>
      <c r="H46" s="945"/>
      <c r="I46" s="945"/>
      <c r="J46" s="945"/>
      <c r="K46" s="945"/>
      <c r="L46" s="945"/>
      <c r="M46" s="945"/>
      <c r="N46" s="946"/>
    </row>
    <row r="47" spans="1:14" s="952" customFormat="1" ht="14">
      <c r="A47" s="2740"/>
      <c r="B47" s="2741" t="s">
        <v>2529</v>
      </c>
      <c r="C47" s="947" t="s">
        <v>2530</v>
      </c>
      <c r="D47" s="948"/>
      <c r="E47" s="949"/>
      <c r="F47" s="950">
        <f>+F414-F198</f>
        <v>0</v>
      </c>
      <c r="G47" s="950">
        <f t="shared" ref="G47:N47" si="20">+G414-G198</f>
        <v>0</v>
      </c>
      <c r="H47" s="950">
        <f t="shared" si="20"/>
        <v>0</v>
      </c>
      <c r="I47" s="950">
        <f t="shared" si="20"/>
        <v>0</v>
      </c>
      <c r="J47" s="950">
        <f t="shared" si="20"/>
        <v>0</v>
      </c>
      <c r="K47" s="950">
        <f t="shared" si="20"/>
        <v>0</v>
      </c>
      <c r="L47" s="950">
        <f t="shared" si="20"/>
        <v>0</v>
      </c>
      <c r="M47" s="950">
        <f t="shared" si="20"/>
        <v>0</v>
      </c>
      <c r="N47" s="951">
        <f t="shared" si="20"/>
        <v>0</v>
      </c>
    </row>
    <row r="48" spans="1:14" s="952" customFormat="1" ht="14">
      <c r="A48" s="2740"/>
      <c r="B48" s="2742"/>
      <c r="C48" s="953" t="s">
        <v>2531</v>
      </c>
      <c r="D48" s="948"/>
      <c r="E48" s="949"/>
      <c r="F48" s="950">
        <f t="shared" ref="F48:N53" si="21">F416-F200</f>
        <v>812226</v>
      </c>
      <c r="G48" s="950">
        <f t="shared" si="21"/>
        <v>167899</v>
      </c>
      <c r="H48" s="950">
        <f t="shared" si="21"/>
        <v>-52530</v>
      </c>
      <c r="I48" s="950">
        <f t="shared" si="21"/>
        <v>696857</v>
      </c>
      <c r="J48" s="950">
        <f t="shared" si="21"/>
        <v>0</v>
      </c>
      <c r="K48" s="950">
        <f t="shared" si="21"/>
        <v>0</v>
      </c>
      <c r="L48" s="950">
        <f t="shared" si="21"/>
        <v>0</v>
      </c>
      <c r="M48" s="950">
        <f t="shared" si="21"/>
        <v>0</v>
      </c>
      <c r="N48" s="951">
        <f t="shared" si="21"/>
        <v>0</v>
      </c>
    </row>
    <row r="49" spans="1:14" s="952" customFormat="1" ht="14">
      <c r="A49" s="2740"/>
      <c r="B49" s="2742"/>
      <c r="C49" s="953" t="s">
        <v>2553</v>
      </c>
      <c r="D49" s="948"/>
      <c r="E49" s="954"/>
      <c r="F49" s="950">
        <f t="shared" si="21"/>
        <v>0</v>
      </c>
      <c r="G49" s="950">
        <f t="shared" si="21"/>
        <v>0</v>
      </c>
      <c r="H49" s="950">
        <f t="shared" si="21"/>
        <v>0</v>
      </c>
      <c r="I49" s="950">
        <f t="shared" si="21"/>
        <v>0</v>
      </c>
      <c r="J49" s="950">
        <f t="shared" si="21"/>
        <v>0</v>
      </c>
      <c r="K49" s="950">
        <f t="shared" si="21"/>
        <v>0</v>
      </c>
      <c r="L49" s="950">
        <f t="shared" si="21"/>
        <v>0</v>
      </c>
      <c r="M49" s="950">
        <f t="shared" si="21"/>
        <v>0</v>
      </c>
      <c r="N49" s="951">
        <f t="shared" si="21"/>
        <v>0</v>
      </c>
    </row>
    <row r="50" spans="1:14" s="952" customFormat="1" ht="14">
      <c r="A50" s="2740"/>
      <c r="B50" s="2743"/>
      <c r="C50" s="953" t="s">
        <v>2554</v>
      </c>
      <c r="D50" s="948"/>
      <c r="E50" s="954"/>
      <c r="F50" s="950">
        <f t="shared" si="21"/>
        <v>0</v>
      </c>
      <c r="G50" s="950">
        <f t="shared" si="21"/>
        <v>0</v>
      </c>
      <c r="H50" s="950">
        <f t="shared" si="21"/>
        <v>0</v>
      </c>
      <c r="I50" s="950">
        <f t="shared" si="21"/>
        <v>0</v>
      </c>
      <c r="J50" s="950">
        <f t="shared" si="21"/>
        <v>0</v>
      </c>
      <c r="K50" s="950">
        <f t="shared" si="21"/>
        <v>0</v>
      </c>
      <c r="L50" s="950">
        <f t="shared" si="21"/>
        <v>0</v>
      </c>
      <c r="M50" s="950">
        <f t="shared" si="21"/>
        <v>0</v>
      </c>
      <c r="N50" s="951">
        <f t="shared" si="21"/>
        <v>0</v>
      </c>
    </row>
    <row r="51" spans="1:14" s="952" customFormat="1" ht="14">
      <c r="A51" s="2740"/>
      <c r="B51" s="2744" t="s">
        <v>2555</v>
      </c>
      <c r="C51" s="953" t="s">
        <v>2556</v>
      </c>
      <c r="D51" s="948">
        <v>1</v>
      </c>
      <c r="E51" s="954">
        <v>0.02</v>
      </c>
      <c r="F51" s="950">
        <f t="shared" si="21"/>
        <v>0</v>
      </c>
      <c r="G51" s="950">
        <f t="shared" si="21"/>
        <v>0</v>
      </c>
      <c r="H51" s="950">
        <f t="shared" si="21"/>
        <v>0</v>
      </c>
      <c r="I51" s="950">
        <f t="shared" si="21"/>
        <v>0</v>
      </c>
      <c r="J51" s="950">
        <f t="shared" si="21"/>
        <v>0</v>
      </c>
      <c r="K51" s="950">
        <f t="shared" si="21"/>
        <v>0</v>
      </c>
      <c r="L51" s="950">
        <f t="shared" si="21"/>
        <v>0</v>
      </c>
      <c r="M51" s="950">
        <f t="shared" si="21"/>
        <v>0</v>
      </c>
      <c r="N51" s="951">
        <f t="shared" si="21"/>
        <v>0</v>
      </c>
    </row>
    <row r="52" spans="1:14" s="952" customFormat="1" ht="14">
      <c r="A52" s="2740"/>
      <c r="B52" s="2742"/>
      <c r="C52" s="953" t="s">
        <v>2536</v>
      </c>
      <c r="D52" s="948">
        <v>1</v>
      </c>
      <c r="E52" s="954">
        <v>0.02</v>
      </c>
      <c r="F52" s="950">
        <f t="shared" si="21"/>
        <v>0</v>
      </c>
      <c r="G52" s="950">
        <f t="shared" si="21"/>
        <v>0</v>
      </c>
      <c r="H52" s="950">
        <f t="shared" si="21"/>
        <v>0</v>
      </c>
      <c r="I52" s="950">
        <f t="shared" si="21"/>
        <v>0</v>
      </c>
      <c r="J52" s="950">
        <f t="shared" si="21"/>
        <v>0</v>
      </c>
      <c r="K52" s="950">
        <f t="shared" si="21"/>
        <v>0</v>
      </c>
      <c r="L52" s="950">
        <f t="shared" si="21"/>
        <v>0</v>
      </c>
      <c r="M52" s="950">
        <f t="shared" si="21"/>
        <v>0</v>
      </c>
      <c r="N52" s="951">
        <f t="shared" si="21"/>
        <v>0</v>
      </c>
    </row>
    <row r="53" spans="1:14" s="952" customFormat="1" ht="14">
      <c r="A53" s="2740"/>
      <c r="B53" s="2742"/>
      <c r="C53" s="953" t="s">
        <v>2537</v>
      </c>
      <c r="D53" s="948">
        <v>1</v>
      </c>
      <c r="E53" s="954">
        <v>0.02</v>
      </c>
      <c r="F53" s="950">
        <f t="shared" si="21"/>
        <v>13631</v>
      </c>
      <c r="G53" s="950">
        <f t="shared" si="21"/>
        <v>13631</v>
      </c>
      <c r="H53" s="950">
        <f t="shared" si="21"/>
        <v>0</v>
      </c>
      <c r="I53" s="950">
        <f t="shared" si="21"/>
        <v>0</v>
      </c>
      <c r="J53" s="950">
        <f t="shared" si="21"/>
        <v>0</v>
      </c>
      <c r="K53" s="950">
        <f t="shared" si="21"/>
        <v>0</v>
      </c>
      <c r="L53" s="950">
        <f t="shared" si="21"/>
        <v>0</v>
      </c>
      <c r="M53" s="950">
        <f t="shared" si="21"/>
        <v>0</v>
      </c>
      <c r="N53" s="951">
        <f t="shared" si="21"/>
        <v>0</v>
      </c>
    </row>
    <row r="54" spans="1:14" s="952" customFormat="1" ht="14">
      <c r="A54" s="2740"/>
      <c r="B54" s="2742"/>
      <c r="C54" s="953" t="s">
        <v>2540</v>
      </c>
      <c r="D54" s="948">
        <v>1</v>
      </c>
      <c r="E54" s="954">
        <v>0.02</v>
      </c>
      <c r="F54" s="950">
        <f>F424-F208</f>
        <v>0</v>
      </c>
      <c r="G54" s="950">
        <f t="shared" ref="G54:N54" si="22">G424-G208</f>
        <v>0</v>
      </c>
      <c r="H54" s="950">
        <f t="shared" si="22"/>
        <v>0</v>
      </c>
      <c r="I54" s="950">
        <f t="shared" si="22"/>
        <v>0</v>
      </c>
      <c r="J54" s="950">
        <f t="shared" si="22"/>
        <v>0</v>
      </c>
      <c r="K54" s="950">
        <f t="shared" si="22"/>
        <v>0</v>
      </c>
      <c r="L54" s="950">
        <f t="shared" si="22"/>
        <v>0</v>
      </c>
      <c r="M54" s="950">
        <f t="shared" si="22"/>
        <v>0</v>
      </c>
      <c r="N54" s="951">
        <f t="shared" si="22"/>
        <v>0</v>
      </c>
    </row>
    <row r="55" spans="1:14" s="952" customFormat="1" ht="14">
      <c r="A55" s="2740"/>
      <c r="B55" s="2742"/>
      <c r="C55" s="955" t="s">
        <v>2557</v>
      </c>
      <c r="D55" s="948"/>
      <c r="E55" s="954"/>
      <c r="F55" s="950"/>
      <c r="G55" s="910"/>
      <c r="H55" s="910"/>
      <c r="I55" s="910"/>
      <c r="J55" s="910"/>
      <c r="K55" s="910"/>
      <c r="L55" s="910"/>
      <c r="M55" s="910"/>
      <c r="N55" s="911"/>
    </row>
    <row r="56" spans="1:14" s="952" customFormat="1" ht="14">
      <c r="A56" s="2740"/>
      <c r="B56" s="2742"/>
      <c r="C56" s="955" t="s">
        <v>2558</v>
      </c>
      <c r="D56" s="948"/>
      <c r="E56" s="954"/>
      <c r="F56" s="950"/>
      <c r="G56" s="910"/>
      <c r="H56" s="910"/>
      <c r="I56" s="910"/>
      <c r="J56" s="910"/>
      <c r="K56" s="910"/>
      <c r="L56" s="910"/>
      <c r="M56" s="910"/>
      <c r="N56" s="911"/>
    </row>
    <row r="57" spans="1:14" s="952" customFormat="1" ht="14">
      <c r="A57" s="2740"/>
      <c r="B57" s="2743"/>
      <c r="C57" s="953" t="s">
        <v>2543</v>
      </c>
      <c r="D57" s="948">
        <v>1</v>
      </c>
      <c r="E57" s="954">
        <v>0.02</v>
      </c>
      <c r="F57" s="950">
        <f>F427-F211</f>
        <v>0</v>
      </c>
      <c r="G57" s="950">
        <f t="shared" ref="G57:N57" si="23">G427-G211</f>
        <v>0</v>
      </c>
      <c r="H57" s="950">
        <f t="shared" si="23"/>
        <v>0</v>
      </c>
      <c r="I57" s="950">
        <f t="shared" si="23"/>
        <v>0</v>
      </c>
      <c r="J57" s="950">
        <f t="shared" si="23"/>
        <v>0</v>
      </c>
      <c r="K57" s="950">
        <f t="shared" si="23"/>
        <v>0</v>
      </c>
      <c r="L57" s="950">
        <f t="shared" si="23"/>
        <v>0</v>
      </c>
      <c r="M57" s="950">
        <f t="shared" si="23"/>
        <v>0</v>
      </c>
      <c r="N57" s="951">
        <f t="shared" si="23"/>
        <v>0</v>
      </c>
    </row>
    <row r="58" spans="1:14" s="952" customFormat="1" ht="14">
      <c r="A58" s="2740"/>
      <c r="B58" s="956" t="s">
        <v>2559</v>
      </c>
      <c r="C58" s="957" t="s">
        <v>2560</v>
      </c>
      <c r="D58" s="948">
        <v>1</v>
      </c>
      <c r="E58" s="954">
        <v>0</v>
      </c>
      <c r="F58" s="950">
        <f>F430-F214</f>
        <v>0</v>
      </c>
      <c r="G58" s="950">
        <f t="shared" ref="G58:N58" si="24">G430-G214</f>
        <v>0</v>
      </c>
      <c r="H58" s="950">
        <f t="shared" si="24"/>
        <v>0</v>
      </c>
      <c r="I58" s="950">
        <f t="shared" si="24"/>
        <v>0</v>
      </c>
      <c r="J58" s="950">
        <f t="shared" si="24"/>
        <v>0</v>
      </c>
      <c r="K58" s="950">
        <f t="shared" si="24"/>
        <v>0</v>
      </c>
      <c r="L58" s="950">
        <f t="shared" si="24"/>
        <v>0</v>
      </c>
      <c r="M58" s="950">
        <f t="shared" si="24"/>
        <v>0</v>
      </c>
      <c r="N58" s="951">
        <f t="shared" si="24"/>
        <v>0</v>
      </c>
    </row>
    <row r="59" spans="1:14" s="839" customFormat="1" ht="14">
      <c r="A59" s="2740"/>
      <c r="B59" s="958" t="s">
        <v>2561</v>
      </c>
      <c r="C59" s="959" t="s">
        <v>2562</v>
      </c>
      <c r="D59" s="948">
        <v>1</v>
      </c>
      <c r="E59" s="954"/>
      <c r="F59" s="950">
        <f>SUM(G59:N59)</f>
        <v>0</v>
      </c>
      <c r="G59" s="935"/>
      <c r="H59" s="935"/>
      <c r="I59" s="935"/>
      <c r="J59" s="935"/>
      <c r="K59" s="935"/>
      <c r="L59" s="935"/>
      <c r="M59" s="935"/>
      <c r="N59" s="936"/>
    </row>
    <row r="60" spans="1:14" s="839" customFormat="1" ht="14">
      <c r="A60" s="2740"/>
      <c r="B60" s="960" t="s">
        <v>2563</v>
      </c>
      <c r="C60" s="961" t="s">
        <v>2564</v>
      </c>
      <c r="D60" s="962">
        <v>1</v>
      </c>
      <c r="E60" s="963"/>
      <c r="F60" s="964"/>
      <c r="G60" s="965"/>
      <c r="H60" s="965"/>
      <c r="I60" s="965"/>
      <c r="J60" s="965"/>
      <c r="K60" s="965"/>
      <c r="L60" s="965"/>
      <c r="M60" s="965"/>
      <c r="N60" s="966"/>
    </row>
    <row r="61" spans="1:14" s="839" customFormat="1" ht="14">
      <c r="A61" s="967"/>
      <c r="B61" s="2745" t="s">
        <v>2565</v>
      </c>
      <c r="C61" s="2746"/>
      <c r="D61" s="968"/>
      <c r="E61" s="969"/>
      <c r="F61" s="970">
        <f>SUM(G61:N61)</f>
        <v>825857</v>
      </c>
      <c r="G61" s="971">
        <f>SUM(G47:G60)</f>
        <v>181530</v>
      </c>
      <c r="H61" s="971">
        <f t="shared" ref="H61:N61" si="25">SUM(H47:H60)</f>
        <v>-52530</v>
      </c>
      <c r="I61" s="971">
        <f t="shared" si="25"/>
        <v>696857</v>
      </c>
      <c r="J61" s="971">
        <f t="shared" si="25"/>
        <v>0</v>
      </c>
      <c r="K61" s="971">
        <f t="shared" si="25"/>
        <v>0</v>
      </c>
      <c r="L61" s="971">
        <f t="shared" si="25"/>
        <v>0</v>
      </c>
      <c r="M61" s="971">
        <f t="shared" si="25"/>
        <v>0</v>
      </c>
      <c r="N61" s="972">
        <f t="shared" si="25"/>
        <v>0</v>
      </c>
    </row>
    <row r="62" spans="1:14" s="839" customFormat="1" ht="14" hidden="1">
      <c r="A62" s="967"/>
      <c r="B62" s="2745" t="s">
        <v>2566</v>
      </c>
      <c r="C62" s="2746"/>
      <c r="D62" s="968"/>
      <c r="E62" s="969"/>
      <c r="F62" s="970">
        <f>SUM(G62:N62)</f>
        <v>-52530</v>
      </c>
      <c r="G62" s="973">
        <f>IF(G59="",IF(G14+G22=0,IF(G8=G84,G61,0),0),0)</f>
        <v>0</v>
      </c>
      <c r="H62" s="973">
        <f t="shared" ref="H62:N62" si="26">IF(H59="",IF(H14+H22=0,IF(H8=H84,H61,0),0),0)</f>
        <v>-52530</v>
      </c>
      <c r="I62" s="973">
        <f t="shared" si="26"/>
        <v>0</v>
      </c>
      <c r="J62" s="973">
        <f t="shared" si="26"/>
        <v>0</v>
      </c>
      <c r="K62" s="973">
        <f t="shared" si="26"/>
        <v>0</v>
      </c>
      <c r="L62" s="973">
        <f t="shared" si="26"/>
        <v>0</v>
      </c>
      <c r="M62" s="973">
        <f t="shared" si="26"/>
        <v>0</v>
      </c>
      <c r="N62" s="973">
        <f t="shared" si="26"/>
        <v>0</v>
      </c>
    </row>
    <row r="63" spans="1:14" s="839" customFormat="1" ht="13.5" hidden="1" customHeight="1">
      <c r="A63" s="967"/>
      <c r="B63" s="2745" t="s">
        <v>2567</v>
      </c>
      <c r="C63" s="2746"/>
      <c r="D63" s="968"/>
      <c r="E63" s="969"/>
      <c r="F63" s="970">
        <f>SUM(G63:N63)</f>
        <v>10150168</v>
      </c>
      <c r="G63" s="974">
        <f t="shared" ref="G63:N63" si="27">G13-(G43+G44)</f>
        <v>2589614</v>
      </c>
      <c r="H63" s="974">
        <f t="shared" si="27"/>
        <v>0</v>
      </c>
      <c r="I63" s="974">
        <f t="shared" si="27"/>
        <v>7560554</v>
      </c>
      <c r="J63" s="974">
        <f t="shared" si="27"/>
        <v>0</v>
      </c>
      <c r="K63" s="974">
        <f t="shared" si="27"/>
        <v>0</v>
      </c>
      <c r="L63" s="974">
        <f t="shared" si="27"/>
        <v>0</v>
      </c>
      <c r="M63" s="974">
        <f t="shared" si="27"/>
        <v>0</v>
      </c>
      <c r="N63" s="974">
        <f t="shared" si="27"/>
        <v>0</v>
      </c>
    </row>
    <row r="64" spans="1:14" s="839" customFormat="1" ht="14" hidden="1">
      <c r="A64" s="967"/>
      <c r="B64" s="2745" t="s">
        <v>2568</v>
      </c>
      <c r="C64" s="2746"/>
      <c r="D64" s="968"/>
      <c r="E64" s="969"/>
      <c r="F64" s="970">
        <f>SUM(G64:N64)</f>
        <v>-52531</v>
      </c>
      <c r="G64" s="971">
        <f>IF($F$62=0,0,(IF(G62=0,INT(G63/$F63*$F62),0)))</f>
        <v>-13402</v>
      </c>
      <c r="H64" s="971">
        <f t="shared" ref="H64:N64" si="28">IF($F$62=0,0,(IF(H62=0,INT(H63/$F63*$F62),0)))</f>
        <v>0</v>
      </c>
      <c r="I64" s="971">
        <f t="shared" si="28"/>
        <v>-39129</v>
      </c>
      <c r="J64" s="971">
        <f t="shared" si="28"/>
        <v>0</v>
      </c>
      <c r="K64" s="971">
        <f t="shared" si="28"/>
        <v>0</v>
      </c>
      <c r="L64" s="971">
        <f t="shared" si="28"/>
        <v>0</v>
      </c>
      <c r="M64" s="971">
        <f t="shared" si="28"/>
        <v>0</v>
      </c>
      <c r="N64" s="971">
        <f t="shared" si="28"/>
        <v>0</v>
      </c>
    </row>
    <row r="65" spans="1:14" s="839" customFormat="1" ht="14" hidden="1">
      <c r="A65" s="967"/>
      <c r="B65" s="2745" t="s">
        <v>2569</v>
      </c>
      <c r="C65" s="2746"/>
      <c r="D65" s="968"/>
      <c r="E65" s="969"/>
      <c r="F65" s="970">
        <f>F62-F64</f>
        <v>1</v>
      </c>
      <c r="G65" s="971">
        <f>IF($F65=0,0,IF(G64=0,0,$F65))</f>
        <v>1</v>
      </c>
      <c r="H65" s="971">
        <f>IF($F65=0,0,IF(H64=0,0,IF(SUM($G65:G65)=0,$F65,0)))</f>
        <v>0</v>
      </c>
      <c r="I65" s="971">
        <f>IF($F65=0,0,IF(I64=0,0,IF(SUM($G65:H65)=0,$F65,0)))</f>
        <v>0</v>
      </c>
      <c r="J65" s="971">
        <f>IF($F65=0,0,IF(J64=0,0,IF(SUM($G65:I65)=0,$F65,0)))</f>
        <v>0</v>
      </c>
      <c r="K65" s="971">
        <f>IF($F65=0,0,IF(K64=0,0,IF(SUM($G65:J65)=0,$F65,0)))</f>
        <v>0</v>
      </c>
      <c r="L65" s="971">
        <f>IF($F65=0,0,IF(L64=0,0,IF(SUM($G65:K65)=0,$F65,0)))</f>
        <v>0</v>
      </c>
      <c r="M65" s="971">
        <f>IF($F65=0,0,IF(M64=0,0,IF(SUM($G65:L65)=0,$F65,0)))</f>
        <v>0</v>
      </c>
      <c r="N65" s="971">
        <f>IF($F65=0,0,IF(N64=0,0,IF(SUM($G65:M65)=0,$F65,0)))</f>
        <v>0</v>
      </c>
    </row>
    <row r="66" spans="1:14" s="2612" customFormat="1" ht="13.5" customHeight="1">
      <c r="A66" s="2607"/>
      <c r="B66" s="2763" t="s">
        <v>2570</v>
      </c>
      <c r="C66" s="2764"/>
      <c r="D66" s="2608"/>
      <c r="E66" s="2609"/>
      <c r="F66" s="2610">
        <f>SUM(G66:N66)</f>
        <v>825857</v>
      </c>
      <c r="G66" s="2611">
        <f>IF(G59="",IF(G14+G22=0,IF(G8=G84,0,G61+G64+G65),G61+G64+G65),G59)</f>
        <v>168129</v>
      </c>
      <c r="H66" s="2611">
        <f t="shared" ref="H66:N66" si="29">IF(H59="",IF(H14+H22=0,IF(H8=H84,0,H61+H64+H65),H61+H64+H65),H59)</f>
        <v>0</v>
      </c>
      <c r="I66" s="2611">
        <f t="shared" si="29"/>
        <v>657728</v>
      </c>
      <c r="J66" s="2611">
        <f t="shared" si="29"/>
        <v>0</v>
      </c>
      <c r="K66" s="2611">
        <f t="shared" si="29"/>
        <v>0</v>
      </c>
      <c r="L66" s="2611">
        <f t="shared" si="29"/>
        <v>0</v>
      </c>
      <c r="M66" s="2611">
        <f t="shared" si="29"/>
        <v>0</v>
      </c>
      <c r="N66" s="2611">
        <f t="shared" si="29"/>
        <v>0</v>
      </c>
    </row>
    <row r="67" spans="1:14" s="839" customFormat="1" ht="14">
      <c r="A67" s="976" t="s">
        <v>2571</v>
      </c>
      <c r="B67" s="977"/>
      <c r="C67" s="977"/>
      <c r="D67" s="978"/>
      <c r="E67" s="979" t="s">
        <v>2572</v>
      </c>
      <c r="F67" s="980">
        <f>SUM(G67:N67)</f>
        <v>10976025</v>
      </c>
      <c r="G67" s="981">
        <f t="shared" ref="G67:N67" si="30">G13-G45+G66</f>
        <v>2757743</v>
      </c>
      <c r="H67" s="981">
        <f t="shared" si="30"/>
        <v>0</v>
      </c>
      <c r="I67" s="981">
        <f t="shared" si="30"/>
        <v>8218282</v>
      </c>
      <c r="J67" s="981">
        <f t="shared" si="30"/>
        <v>0</v>
      </c>
      <c r="K67" s="981">
        <f t="shared" si="30"/>
        <v>0</v>
      </c>
      <c r="L67" s="981">
        <f t="shared" si="30"/>
        <v>0</v>
      </c>
      <c r="M67" s="981">
        <f t="shared" si="30"/>
        <v>0</v>
      </c>
      <c r="N67" s="981">
        <f t="shared" si="30"/>
        <v>0</v>
      </c>
    </row>
    <row r="68" spans="1:14" s="839" customFormat="1" ht="14">
      <c r="A68" s="982"/>
      <c r="B68" s="2765" t="s">
        <v>2573</v>
      </c>
      <c r="C68" s="2766"/>
      <c r="D68" s="983"/>
      <c r="E68" s="984"/>
      <c r="F68" s="985"/>
      <c r="G68" s="986"/>
      <c r="H68" s="986"/>
      <c r="I68" s="986"/>
      <c r="J68" s="986"/>
      <c r="K68" s="986"/>
      <c r="L68" s="986"/>
      <c r="M68" s="986"/>
      <c r="N68" s="987"/>
    </row>
    <row r="69" spans="1:14" s="839" customFormat="1" ht="13.5" customHeight="1">
      <c r="A69" s="982"/>
      <c r="B69" s="988" t="s">
        <v>2574</v>
      </c>
      <c r="C69" s="989"/>
      <c r="D69" s="990"/>
      <c r="E69" s="991"/>
      <c r="F69" s="992">
        <f>+F463-F248</f>
        <v>1223674</v>
      </c>
      <c r="G69" s="992">
        <f>+G463-G248</f>
        <v>315421</v>
      </c>
      <c r="H69" s="992">
        <f t="shared" ref="H69:N69" si="31">+H463-H248</f>
        <v>-27193</v>
      </c>
      <c r="I69" s="992">
        <f t="shared" si="31"/>
        <v>935446</v>
      </c>
      <c r="J69" s="992">
        <f t="shared" si="31"/>
        <v>0</v>
      </c>
      <c r="K69" s="992">
        <f t="shared" si="31"/>
        <v>0</v>
      </c>
      <c r="L69" s="992">
        <f>+L463-L248</f>
        <v>0</v>
      </c>
      <c r="M69" s="992">
        <f t="shared" si="31"/>
        <v>0</v>
      </c>
      <c r="N69" s="993">
        <f t="shared" si="31"/>
        <v>0</v>
      </c>
    </row>
    <row r="70" spans="1:14" s="839" customFormat="1" ht="13.5" hidden="1" customHeight="1">
      <c r="A70" s="967"/>
      <c r="B70" s="2745" t="s">
        <v>2566</v>
      </c>
      <c r="C70" s="2746"/>
      <c r="D70" s="968"/>
      <c r="E70" s="969"/>
      <c r="F70" s="970">
        <f>SUM(G70:N70)</f>
        <v>-27193</v>
      </c>
      <c r="G70" s="994">
        <f>IF(G67=0,G69,0)</f>
        <v>0</v>
      </c>
      <c r="H70" s="994">
        <f t="shared" ref="H70:N70" si="32">IF(H67=0,H69,0)</f>
        <v>-27193</v>
      </c>
      <c r="I70" s="994">
        <f t="shared" si="32"/>
        <v>0</v>
      </c>
      <c r="J70" s="994">
        <f t="shared" si="32"/>
        <v>0</v>
      </c>
      <c r="K70" s="994">
        <f>IF(K67=0,K69,0)</f>
        <v>0</v>
      </c>
      <c r="L70" s="994">
        <f t="shared" si="32"/>
        <v>0</v>
      </c>
      <c r="M70" s="994">
        <f t="shared" si="32"/>
        <v>0</v>
      </c>
      <c r="N70" s="994">
        <f t="shared" si="32"/>
        <v>0</v>
      </c>
    </row>
    <row r="71" spans="1:14" s="839" customFormat="1" ht="13.5" hidden="1" customHeight="1">
      <c r="A71" s="967"/>
      <c r="B71" s="2745" t="s">
        <v>2575</v>
      </c>
      <c r="C71" s="2746"/>
      <c r="D71" s="968"/>
      <c r="E71" s="969"/>
      <c r="F71" s="970">
        <f>SUM(G71:N71)</f>
        <v>10976025</v>
      </c>
      <c r="G71" s="995">
        <f>IF(G68=0,G67,G67-(G43+G44+G59))</f>
        <v>2757743</v>
      </c>
      <c r="H71" s="995">
        <f>IF(H68=0,H67,H67-(H43+H44+H59))</f>
        <v>0</v>
      </c>
      <c r="I71" s="995">
        <f t="shared" ref="I71:N71" si="33">IF(I68=0,I67,I67-(I43+I44+I59))</f>
        <v>8218282</v>
      </c>
      <c r="J71" s="995">
        <f t="shared" si="33"/>
        <v>0</v>
      </c>
      <c r="K71" s="995">
        <f t="shared" si="33"/>
        <v>0</v>
      </c>
      <c r="L71" s="995">
        <f t="shared" si="33"/>
        <v>0</v>
      </c>
      <c r="M71" s="995">
        <f t="shared" si="33"/>
        <v>0</v>
      </c>
      <c r="N71" s="995">
        <f t="shared" si="33"/>
        <v>0</v>
      </c>
    </row>
    <row r="72" spans="1:14" s="839" customFormat="1" ht="13.5" hidden="1" customHeight="1">
      <c r="A72" s="967"/>
      <c r="B72" s="2745" t="s">
        <v>2576</v>
      </c>
      <c r="C72" s="2746"/>
      <c r="D72" s="968"/>
      <c r="E72" s="969"/>
      <c r="F72" s="970">
        <f>SUM(G72:N72)</f>
        <v>-27194</v>
      </c>
      <c r="G72" s="971">
        <f>IF($F$71=0,0,(INT(G71/$F71*$F70)))</f>
        <v>-6833</v>
      </c>
      <c r="H72" s="971">
        <f t="shared" ref="H72:N72" si="34">IF($F$71=0,0,(INT(H71/$F71*$F70)))</f>
        <v>0</v>
      </c>
      <c r="I72" s="971">
        <f t="shared" si="34"/>
        <v>-20361</v>
      </c>
      <c r="J72" s="971">
        <f t="shared" si="34"/>
        <v>0</v>
      </c>
      <c r="K72" s="971">
        <f t="shared" si="34"/>
        <v>0</v>
      </c>
      <c r="L72" s="971">
        <f t="shared" si="34"/>
        <v>0</v>
      </c>
      <c r="M72" s="971">
        <f t="shared" si="34"/>
        <v>0</v>
      </c>
      <c r="N72" s="971">
        <f t="shared" si="34"/>
        <v>0</v>
      </c>
    </row>
    <row r="73" spans="1:14" s="839" customFormat="1" ht="13.5" hidden="1" customHeight="1">
      <c r="A73" s="967"/>
      <c r="B73" s="2745" t="s">
        <v>2577</v>
      </c>
      <c r="C73" s="2746"/>
      <c r="D73" s="968"/>
      <c r="E73" s="969"/>
      <c r="F73" s="970">
        <f>F70-F72</f>
        <v>1</v>
      </c>
      <c r="G73" s="971">
        <f>IF($F73=0,0,IF(G72=0,0,$F73))</f>
        <v>1</v>
      </c>
      <c r="H73" s="971">
        <f>IF($F73=0,0,IF(H72=0,0,IF(SUM($G73:G73)=0,$F73,0)))</f>
        <v>0</v>
      </c>
      <c r="I73" s="971">
        <f>IF($F73=0,0,IF(I72=0,0,IF(SUM($G73:H73)=0,$F73,0)))</f>
        <v>0</v>
      </c>
      <c r="J73" s="971">
        <f>IF($F73=0,0,IF(J72=0,0,IF(SUM($G73:I73)=0,$F73,0)))</f>
        <v>0</v>
      </c>
      <c r="K73" s="971">
        <f>IF($F73=0,0,IF(K72=0,0,IF(SUM($G73:J73)=0,$F73,0)))</f>
        <v>0</v>
      </c>
      <c r="L73" s="971">
        <f>IF($F73=0,0,IF(L72=0,0,IF(SUM($G73:K73)=0,$F73,0)))</f>
        <v>0</v>
      </c>
      <c r="M73" s="971">
        <f>IF($F73=0,0,IF(M72=0,0,IF(SUM($G73:L73)=0,$F73,0)))</f>
        <v>0</v>
      </c>
      <c r="N73" s="971">
        <f>IF($F73=0,0,IF(N72=0,0,IF(SUM($G73:M73)=0,$F73,0)))</f>
        <v>0</v>
      </c>
    </row>
    <row r="74" spans="1:14" s="839" customFormat="1" ht="13.5" customHeight="1">
      <c r="A74" s="982"/>
      <c r="B74" s="996" t="s">
        <v>2578</v>
      </c>
      <c r="C74" s="997"/>
      <c r="D74" s="998"/>
      <c r="E74" s="999"/>
      <c r="F74" s="970">
        <f t="shared" ref="F74:F81" si="35">SUM(G74:N74)</f>
        <v>1223674</v>
      </c>
      <c r="G74" s="975">
        <f>IF(G67=0,0,G69+G72+G73)</f>
        <v>308589</v>
      </c>
      <c r="H74" s="975">
        <f t="shared" ref="H74:N74" si="36">IF(H67=0,0,H69+H72+H73)</f>
        <v>0</v>
      </c>
      <c r="I74" s="975">
        <f t="shared" si="36"/>
        <v>915085</v>
      </c>
      <c r="J74" s="975">
        <f t="shared" si="36"/>
        <v>0</v>
      </c>
      <c r="K74" s="975">
        <f t="shared" si="36"/>
        <v>0</v>
      </c>
      <c r="L74" s="975">
        <f t="shared" si="36"/>
        <v>0</v>
      </c>
      <c r="M74" s="975">
        <f t="shared" si="36"/>
        <v>0</v>
      </c>
      <c r="N74" s="975">
        <f t="shared" si="36"/>
        <v>0</v>
      </c>
    </row>
    <row r="75" spans="1:14" s="839" customFormat="1" ht="13.5" customHeight="1" thickBot="1">
      <c r="A75" s="1000" t="s">
        <v>2579</v>
      </c>
      <c r="B75" s="1001"/>
      <c r="C75" s="1002"/>
      <c r="D75" s="1003"/>
      <c r="E75" s="1004"/>
      <c r="F75" s="1005">
        <f t="shared" si="35"/>
        <v>12199699</v>
      </c>
      <c r="G75" s="1006">
        <f>+G13+G66+G74</f>
        <v>3066332</v>
      </c>
      <c r="H75" s="1006">
        <f t="shared" ref="H75:N75" si="37">+H13+H66+H74</f>
        <v>0</v>
      </c>
      <c r="I75" s="1006">
        <f t="shared" si="37"/>
        <v>9133367</v>
      </c>
      <c r="J75" s="1006">
        <f t="shared" si="37"/>
        <v>0</v>
      </c>
      <c r="K75" s="1006">
        <f t="shared" si="37"/>
        <v>0</v>
      </c>
      <c r="L75" s="1006">
        <f t="shared" si="37"/>
        <v>0</v>
      </c>
      <c r="M75" s="1006">
        <f t="shared" si="37"/>
        <v>0</v>
      </c>
      <c r="N75" s="1006">
        <f t="shared" si="37"/>
        <v>0</v>
      </c>
    </row>
    <row r="76" spans="1:14" s="839" customFormat="1" ht="13.5" customHeight="1" thickTop="1">
      <c r="A76" s="1007" t="s">
        <v>394</v>
      </c>
      <c r="B76" s="1008"/>
      <c r="C76" s="1008"/>
      <c r="D76" s="1008"/>
      <c r="E76" s="1009" t="s">
        <v>2580</v>
      </c>
      <c r="F76" s="1010">
        <f t="shared" si="35"/>
        <v>12199000</v>
      </c>
      <c r="G76" s="1011">
        <f>IF(G75&lt;0,ROUNDUP(G75,-3),ROUNDDOWN(G75,-3))</f>
        <v>3066000</v>
      </c>
      <c r="H76" s="1011">
        <f t="shared" ref="H76:N76" si="38">IF(H75&lt;0,ROUNDUP(H75,-3),ROUNDDOWN(H75,-3))</f>
        <v>0</v>
      </c>
      <c r="I76" s="1011">
        <f t="shared" si="38"/>
        <v>9133000</v>
      </c>
      <c r="J76" s="1011">
        <f t="shared" si="38"/>
        <v>0</v>
      </c>
      <c r="K76" s="1011">
        <f t="shared" si="38"/>
        <v>0</v>
      </c>
      <c r="L76" s="1011">
        <f t="shared" si="38"/>
        <v>0</v>
      </c>
      <c r="M76" s="1011">
        <f t="shared" si="38"/>
        <v>0</v>
      </c>
      <c r="N76" s="1012">
        <f t="shared" si="38"/>
        <v>0</v>
      </c>
    </row>
    <row r="77" spans="1:14" s="839" customFormat="1" ht="13.5" customHeight="1">
      <c r="A77" s="1013"/>
      <c r="B77" s="2760" t="s">
        <v>2581</v>
      </c>
      <c r="C77" s="1014" t="s">
        <v>2582</v>
      </c>
      <c r="D77" s="1014"/>
      <c r="E77" s="1014"/>
      <c r="F77" s="1015">
        <f t="shared" si="35"/>
        <v>10150168</v>
      </c>
      <c r="G77" s="1016">
        <f t="shared" ref="G77:N77" si="39">+G13</f>
        <v>2589614</v>
      </c>
      <c r="H77" s="1016">
        <f t="shared" si="39"/>
        <v>0</v>
      </c>
      <c r="I77" s="1016">
        <f t="shared" si="39"/>
        <v>7560554</v>
      </c>
      <c r="J77" s="1016">
        <f t="shared" si="39"/>
        <v>0</v>
      </c>
      <c r="K77" s="1016">
        <f t="shared" si="39"/>
        <v>0</v>
      </c>
      <c r="L77" s="1016">
        <f t="shared" si="39"/>
        <v>0</v>
      </c>
      <c r="M77" s="1016">
        <f t="shared" si="39"/>
        <v>0</v>
      </c>
      <c r="N77" s="1017">
        <f t="shared" si="39"/>
        <v>0</v>
      </c>
    </row>
    <row r="78" spans="1:14" s="839" customFormat="1" ht="13.5" customHeight="1" thickBot="1">
      <c r="A78" s="1018"/>
      <c r="B78" s="2761"/>
      <c r="C78" s="1019" t="s">
        <v>2583</v>
      </c>
      <c r="D78" s="1019"/>
      <c r="E78" s="1019"/>
      <c r="F78" s="1020">
        <f t="shared" si="35"/>
        <v>2048832</v>
      </c>
      <c r="G78" s="1021">
        <f>+G76-G77</f>
        <v>476386</v>
      </c>
      <c r="H78" s="1021">
        <f t="shared" ref="H78:N78" si="40">+H76-H77</f>
        <v>0</v>
      </c>
      <c r="I78" s="1021">
        <f t="shared" si="40"/>
        <v>1572446</v>
      </c>
      <c r="J78" s="1021">
        <f t="shared" si="40"/>
        <v>0</v>
      </c>
      <c r="K78" s="1021">
        <f t="shared" si="40"/>
        <v>0</v>
      </c>
      <c r="L78" s="1021">
        <f t="shared" si="40"/>
        <v>0</v>
      </c>
      <c r="M78" s="1021">
        <f t="shared" si="40"/>
        <v>0</v>
      </c>
      <c r="N78" s="1022">
        <f t="shared" si="40"/>
        <v>0</v>
      </c>
    </row>
    <row r="79" spans="1:14" s="839" customFormat="1" ht="13.5" customHeight="1" thickTop="1">
      <c r="A79" s="1007" t="s">
        <v>2584</v>
      </c>
      <c r="B79" s="1008"/>
      <c r="C79" s="1008"/>
      <c r="D79" s="1008"/>
      <c r="E79" s="1009" t="s">
        <v>2580</v>
      </c>
      <c r="F79" s="1010">
        <f t="shared" si="35"/>
        <v>9072000</v>
      </c>
      <c r="G79" s="1011">
        <f t="shared" ref="G79:N79" si="41">IF(G75&lt;0,ROUNDUP(G75*$G$2,-3),ROUNDDOWN(G75*$G$2,-3))</f>
        <v>2280000</v>
      </c>
      <c r="H79" s="1011">
        <f t="shared" si="41"/>
        <v>0</v>
      </c>
      <c r="I79" s="1011">
        <f t="shared" si="41"/>
        <v>6792000</v>
      </c>
      <c r="J79" s="1011">
        <f t="shared" si="41"/>
        <v>0</v>
      </c>
      <c r="K79" s="1011">
        <f t="shared" si="41"/>
        <v>0</v>
      </c>
      <c r="L79" s="1011">
        <f t="shared" si="41"/>
        <v>0</v>
      </c>
      <c r="M79" s="1011">
        <f t="shared" si="41"/>
        <v>0</v>
      </c>
      <c r="N79" s="1012">
        <f t="shared" si="41"/>
        <v>0</v>
      </c>
    </row>
    <row r="80" spans="1:14" s="839" customFormat="1" ht="13.5" customHeight="1">
      <c r="A80" s="1013"/>
      <c r="B80" s="2760" t="s">
        <v>2581</v>
      </c>
      <c r="C80" s="1014" t="s">
        <v>2582</v>
      </c>
      <c r="D80" s="1014"/>
      <c r="E80" s="1014"/>
      <c r="F80" s="1015">
        <f t="shared" si="35"/>
        <v>7548681</v>
      </c>
      <c r="G80" s="1016">
        <f t="shared" ref="G80:N80" si="42">IF(G77&lt;0,ROUNDDOWN(G77*$G$2,0),ROUNDUP(G77*$G$2,0))</f>
        <v>1925896</v>
      </c>
      <c r="H80" s="1016">
        <f t="shared" si="42"/>
        <v>0</v>
      </c>
      <c r="I80" s="1016">
        <f t="shared" si="42"/>
        <v>5622785</v>
      </c>
      <c r="J80" s="1016">
        <f t="shared" si="42"/>
        <v>0</v>
      </c>
      <c r="K80" s="1016">
        <f t="shared" si="42"/>
        <v>0</v>
      </c>
      <c r="L80" s="1016">
        <f t="shared" si="42"/>
        <v>0</v>
      </c>
      <c r="M80" s="1016">
        <f t="shared" si="42"/>
        <v>0</v>
      </c>
      <c r="N80" s="1017">
        <f t="shared" si="42"/>
        <v>0</v>
      </c>
    </row>
    <row r="81" spans="1:14" s="839" customFormat="1" ht="13.5" customHeight="1">
      <c r="A81" s="1018"/>
      <c r="B81" s="2762"/>
      <c r="C81" s="1019" t="s">
        <v>2583</v>
      </c>
      <c r="D81" s="1019"/>
      <c r="E81" s="1019"/>
      <c r="F81" s="1020">
        <f t="shared" si="35"/>
        <v>1523319</v>
      </c>
      <c r="G81" s="1021">
        <f t="shared" ref="G81:N81" si="43">+G79-G80</f>
        <v>354104</v>
      </c>
      <c r="H81" s="1021">
        <f t="shared" si="43"/>
        <v>0</v>
      </c>
      <c r="I81" s="1021">
        <f t="shared" si="43"/>
        <v>1169215</v>
      </c>
      <c r="J81" s="1021">
        <f t="shared" si="43"/>
        <v>0</v>
      </c>
      <c r="K81" s="1021">
        <f t="shared" si="43"/>
        <v>0</v>
      </c>
      <c r="L81" s="1021">
        <f t="shared" si="43"/>
        <v>0</v>
      </c>
      <c r="M81" s="1021">
        <f t="shared" si="43"/>
        <v>0</v>
      </c>
      <c r="N81" s="1022">
        <f t="shared" si="43"/>
        <v>0</v>
      </c>
    </row>
    <row r="82" spans="1:14" s="878" customFormat="1" ht="13.5" customHeight="1">
      <c r="A82" s="1023"/>
      <c r="B82" s="1023"/>
      <c r="C82" s="1024"/>
      <c r="D82" s="1025"/>
      <c r="E82" s="1026" t="s">
        <v>2501</v>
      </c>
      <c r="F82" s="1027" t="str">
        <f>+F1</f>
        <v>イ）堺筋本町駅</v>
      </c>
      <c r="G82" s="1028"/>
      <c r="H82" s="1029"/>
      <c r="I82" s="1030"/>
      <c r="J82" s="837"/>
      <c r="K82" s="837"/>
      <c r="L82" s="837"/>
      <c r="M82" s="837"/>
      <c r="N82" s="838" t="s">
        <v>2585</v>
      </c>
    </row>
    <row r="83" spans="1:14" s="889" customFormat="1" ht="13.5" customHeight="1">
      <c r="A83" s="1031"/>
      <c r="B83" s="1031"/>
      <c r="C83" s="1032" t="str">
        <f>IF(OR(G83="無し",G83="なし"),"共通費集計表","随契諸経費集計表")</f>
        <v>共通費集計表</v>
      </c>
      <c r="D83" s="804"/>
      <c r="E83" s="1033"/>
      <c r="F83" s="1034" t="s">
        <v>2586</v>
      </c>
      <c r="G83" s="1035" t="s">
        <v>2587</v>
      </c>
      <c r="H83" s="1036"/>
      <c r="J83" s="1037"/>
      <c r="K83" s="1037"/>
      <c r="L83" s="1037"/>
      <c r="M83" s="1034"/>
      <c r="N83" s="1038"/>
    </row>
    <row r="84" spans="1:14" s="878" customFormat="1" ht="13.5" customHeight="1">
      <c r="A84" s="870"/>
      <c r="B84" s="871"/>
      <c r="C84" s="872" t="s">
        <v>2510</v>
      </c>
      <c r="D84" s="873"/>
      <c r="E84" s="874"/>
      <c r="F84" s="875" t="s">
        <v>2588</v>
      </c>
      <c r="G84" s="1039">
        <v>16.600000000000001</v>
      </c>
      <c r="H84" s="1039">
        <v>11</v>
      </c>
      <c r="I84" s="1039">
        <v>16.600000000000001</v>
      </c>
      <c r="J84" s="1039"/>
      <c r="K84" s="1039"/>
      <c r="L84" s="1039"/>
      <c r="M84" s="1039"/>
      <c r="N84" s="1040"/>
    </row>
    <row r="85" spans="1:14" s="878" customFormat="1" ht="13.5" customHeight="1">
      <c r="A85" s="1285"/>
      <c r="B85" s="1286"/>
      <c r="C85" s="881" t="s">
        <v>2512</v>
      </c>
      <c r="D85" s="882"/>
      <c r="E85" s="883"/>
      <c r="F85" s="884" t="s">
        <v>2589</v>
      </c>
      <c r="G85" s="1041" t="s">
        <v>2947</v>
      </c>
      <c r="H85" s="1041" t="s">
        <v>2947</v>
      </c>
      <c r="I85" s="1041" t="s">
        <v>2947</v>
      </c>
      <c r="J85" s="1041"/>
      <c r="K85" s="1041"/>
      <c r="L85" s="1041"/>
      <c r="M85" s="1041"/>
      <c r="N85" s="1042"/>
    </row>
    <row r="86" spans="1:14" s="889" customFormat="1" ht="13.5" customHeight="1">
      <c r="A86" s="1285"/>
      <c r="B86" s="1286"/>
      <c r="C86" s="1286" t="s">
        <v>2590</v>
      </c>
      <c r="D86" s="1286"/>
      <c r="E86" s="1043" t="s">
        <v>2596</v>
      </c>
      <c r="F86" s="1044" t="s">
        <v>2505</v>
      </c>
      <c r="G86" s="1045" t="s">
        <v>2960</v>
      </c>
      <c r="H86" s="1045" t="s">
        <v>2961</v>
      </c>
      <c r="I86" s="1045" t="s">
        <v>2962</v>
      </c>
      <c r="J86" s="1045"/>
      <c r="K86" s="1045"/>
      <c r="L86" s="1045"/>
      <c r="M86" s="1045"/>
      <c r="N86" s="1046"/>
    </row>
    <row r="87" spans="1:14" s="889" customFormat="1" ht="13.5" customHeight="1">
      <c r="A87" s="1285"/>
      <c r="B87" s="1286"/>
      <c r="C87" s="1286" t="s">
        <v>2592</v>
      </c>
      <c r="D87" s="1286"/>
      <c r="E87" s="1043" t="s">
        <v>2591</v>
      </c>
      <c r="F87" s="1047" t="s">
        <v>2593</v>
      </c>
      <c r="G87" s="1048" t="s">
        <v>2953</v>
      </c>
      <c r="H87" s="1048" t="s">
        <v>2954</v>
      </c>
      <c r="I87" s="1048" t="s">
        <v>2956</v>
      </c>
      <c r="J87" s="1048"/>
      <c r="K87" s="1048"/>
      <c r="L87" s="1048"/>
      <c r="M87" s="1048"/>
      <c r="N87" s="1049"/>
    </row>
    <row r="88" spans="1:14" s="889" customFormat="1" ht="13.5" customHeight="1">
      <c r="A88" s="2734" t="s">
        <v>2513</v>
      </c>
      <c r="B88" s="2735"/>
      <c r="C88" s="2735"/>
      <c r="D88" s="2735"/>
      <c r="E88" s="2735"/>
      <c r="F88" s="2736"/>
      <c r="G88" s="1050" t="s">
        <v>2594</v>
      </c>
      <c r="H88" s="1050" t="s">
        <v>2594</v>
      </c>
      <c r="I88" s="1050" t="s">
        <v>2594</v>
      </c>
      <c r="J88" s="1050" t="s">
        <v>2594</v>
      </c>
      <c r="K88" s="1050" t="s">
        <v>2594</v>
      </c>
      <c r="L88" s="1050" t="s">
        <v>2594</v>
      </c>
      <c r="M88" s="1050" t="s">
        <v>2594</v>
      </c>
      <c r="N88" s="1051" t="s">
        <v>2594</v>
      </c>
    </row>
    <row r="89" spans="1:14" s="889" customFormat="1" ht="30" customHeight="1">
      <c r="A89" s="2747" t="s">
        <v>2514</v>
      </c>
      <c r="B89" s="2748"/>
      <c r="C89" s="2748"/>
      <c r="D89" s="2748"/>
      <c r="E89" s="2748"/>
      <c r="F89" s="2749"/>
      <c r="G89" s="890" t="s">
        <v>2595</v>
      </c>
      <c r="H89" s="890" t="s">
        <v>2595</v>
      </c>
      <c r="I89" s="890" t="s">
        <v>2595</v>
      </c>
      <c r="J89" s="890" t="s">
        <v>2595</v>
      </c>
      <c r="K89" s="890" t="s">
        <v>2595</v>
      </c>
      <c r="L89" s="890" t="s">
        <v>2595</v>
      </c>
      <c r="M89" s="890" t="s">
        <v>2595</v>
      </c>
      <c r="N89" s="891" t="s">
        <v>2595</v>
      </c>
    </row>
    <row r="90" spans="1:14" s="889" customFormat="1" ht="30" customHeight="1">
      <c r="A90" s="2750" t="s">
        <v>2515</v>
      </c>
      <c r="B90" s="2751"/>
      <c r="C90" s="2751"/>
      <c r="D90" s="2751"/>
      <c r="E90" s="2751"/>
      <c r="F90" s="2752"/>
      <c r="G90" s="892" t="s">
        <v>2596</v>
      </c>
      <c r="H90" s="892" t="s">
        <v>2596</v>
      </c>
      <c r="I90" s="892" t="s">
        <v>2596</v>
      </c>
      <c r="J90" s="892" t="s">
        <v>2596</v>
      </c>
      <c r="K90" s="892" t="s">
        <v>2596</v>
      </c>
      <c r="L90" s="892" t="s">
        <v>2596</v>
      </c>
      <c r="M90" s="892" t="s">
        <v>2596</v>
      </c>
      <c r="N90" s="893" t="s">
        <v>2596</v>
      </c>
    </row>
    <row r="91" spans="1:14" s="889" customFormat="1" ht="13.5" customHeight="1">
      <c r="A91" s="870"/>
      <c r="B91" s="894" t="s">
        <v>2597</v>
      </c>
      <c r="C91" s="895"/>
      <c r="D91" s="895"/>
      <c r="E91" s="896"/>
      <c r="F91" s="897">
        <f>SUM(G91:N91)</f>
        <v>212777084</v>
      </c>
      <c r="G91" s="898">
        <f>+G92+G96</f>
        <v>44795961</v>
      </c>
      <c r="H91" s="898">
        <f>+H92+H96</f>
        <v>28913934</v>
      </c>
      <c r="I91" s="898">
        <f t="shared" ref="I91:N91" si="44">+I92+I96</f>
        <v>139067189</v>
      </c>
      <c r="J91" s="898">
        <f>+J92+J96</f>
        <v>0</v>
      </c>
      <c r="K91" s="898">
        <f>+K92+K96</f>
        <v>0</v>
      </c>
      <c r="L91" s="898">
        <f t="shared" si="44"/>
        <v>0</v>
      </c>
      <c r="M91" s="898">
        <f t="shared" si="44"/>
        <v>0</v>
      </c>
      <c r="N91" s="899">
        <f t="shared" si="44"/>
        <v>0</v>
      </c>
    </row>
    <row r="92" spans="1:14" s="889" customFormat="1" ht="13.5" customHeight="1">
      <c r="A92" s="1285"/>
      <c r="B92" s="1286"/>
      <c r="C92" s="691" t="s">
        <v>2517</v>
      </c>
      <c r="D92" s="692"/>
      <c r="E92" s="874"/>
      <c r="F92" s="900">
        <f>SUM(G92:N92)</f>
        <v>197831613</v>
      </c>
      <c r="G92" s="1052">
        <v>39763280</v>
      </c>
      <c r="H92" s="1052">
        <v>27426558</v>
      </c>
      <c r="I92" s="1052">
        <v>130641775</v>
      </c>
      <c r="J92" s="1052"/>
      <c r="K92" s="1052"/>
      <c r="L92" s="1052"/>
      <c r="M92" s="1052"/>
      <c r="N92" s="1053"/>
    </row>
    <row r="93" spans="1:14" s="889" customFormat="1" ht="13.5" customHeight="1">
      <c r="A93" s="1285"/>
      <c r="B93" s="1286"/>
      <c r="C93" s="1054"/>
      <c r="D93" s="1054"/>
      <c r="E93" s="903"/>
      <c r="F93" s="904" t="s">
        <v>2598</v>
      </c>
      <c r="G93" s="905">
        <f>SUM(G185:G194)</f>
        <v>3754283</v>
      </c>
      <c r="H93" s="905">
        <f t="shared" ref="H93:N93" si="45">SUM(H185:H194)</f>
        <v>13658</v>
      </c>
      <c r="I93" s="905">
        <f t="shared" si="45"/>
        <v>2514930</v>
      </c>
      <c r="J93" s="905">
        <f>SUM(J185:J194)</f>
        <v>0</v>
      </c>
      <c r="K93" s="905">
        <f>SUM(K185:K194)</f>
        <v>0</v>
      </c>
      <c r="L93" s="905">
        <f t="shared" si="45"/>
        <v>0</v>
      </c>
      <c r="M93" s="905">
        <f t="shared" si="45"/>
        <v>0</v>
      </c>
      <c r="N93" s="906">
        <f t="shared" si="45"/>
        <v>0</v>
      </c>
    </row>
    <row r="94" spans="1:14" s="889" customFormat="1" ht="13.5" customHeight="1">
      <c r="A94" s="1285"/>
      <c r="B94" s="1286"/>
      <c r="C94" s="1054"/>
      <c r="D94" s="1054"/>
      <c r="E94" s="903"/>
      <c r="F94" s="904" t="s">
        <v>2599</v>
      </c>
      <c r="G94" s="905">
        <f>SUM(G232:G234)</f>
        <v>0</v>
      </c>
      <c r="H94" s="905">
        <f t="shared" ref="H94:N94" si="46">SUM(H232:H234)</f>
        <v>0</v>
      </c>
      <c r="I94" s="905">
        <f t="shared" si="46"/>
        <v>0</v>
      </c>
      <c r="J94" s="905">
        <f>SUM(J232:J234)</f>
        <v>0</v>
      </c>
      <c r="K94" s="905">
        <f>SUM(K232:K234)</f>
        <v>0</v>
      </c>
      <c r="L94" s="905">
        <f t="shared" si="46"/>
        <v>0</v>
      </c>
      <c r="M94" s="905">
        <f t="shared" si="46"/>
        <v>0</v>
      </c>
      <c r="N94" s="906">
        <f t="shared" si="46"/>
        <v>0</v>
      </c>
    </row>
    <row r="95" spans="1:14" s="889" customFormat="1" ht="13.5" customHeight="1">
      <c r="A95" s="1285"/>
      <c r="B95" s="1286"/>
      <c r="C95" s="1054"/>
      <c r="D95" s="1054"/>
      <c r="E95" s="903"/>
      <c r="F95" s="1055" t="s">
        <v>2600</v>
      </c>
      <c r="G95" s="905">
        <f>+G134</f>
        <v>0</v>
      </c>
      <c r="H95" s="905">
        <f t="shared" ref="H95:N95" si="47">+H134</f>
        <v>0</v>
      </c>
      <c r="I95" s="905">
        <f t="shared" si="47"/>
        <v>0</v>
      </c>
      <c r="J95" s="905">
        <f t="shared" si="47"/>
        <v>0</v>
      </c>
      <c r="K95" s="905">
        <f>+K134</f>
        <v>0</v>
      </c>
      <c r="L95" s="905">
        <f t="shared" si="47"/>
        <v>0</v>
      </c>
      <c r="M95" s="905">
        <f t="shared" si="47"/>
        <v>0</v>
      </c>
      <c r="N95" s="906">
        <f t="shared" si="47"/>
        <v>0</v>
      </c>
    </row>
    <row r="96" spans="1:14" s="889" customFormat="1" ht="13.5" customHeight="1">
      <c r="A96" s="1285"/>
      <c r="B96" s="1286"/>
      <c r="C96" s="698" t="s">
        <v>2518</v>
      </c>
      <c r="D96" s="698"/>
      <c r="E96" s="903"/>
      <c r="F96" s="904">
        <f t="shared" ref="F96:F113" si="48">SUM(G96:N96)</f>
        <v>14945471</v>
      </c>
      <c r="G96" s="905">
        <f>G97+G98</f>
        <v>5032681</v>
      </c>
      <c r="H96" s="905">
        <f t="shared" ref="H96:N96" si="49">H97+H98</f>
        <v>1487376</v>
      </c>
      <c r="I96" s="905">
        <f t="shared" si="49"/>
        <v>8425414</v>
      </c>
      <c r="J96" s="905">
        <f t="shared" si="49"/>
        <v>0</v>
      </c>
      <c r="K96" s="905">
        <f>K97+K98</f>
        <v>0</v>
      </c>
      <c r="L96" s="905">
        <f t="shared" si="49"/>
        <v>0</v>
      </c>
      <c r="M96" s="905">
        <f t="shared" si="49"/>
        <v>0</v>
      </c>
      <c r="N96" s="906">
        <f t="shared" si="49"/>
        <v>0</v>
      </c>
    </row>
    <row r="97" spans="1:14" s="889" customFormat="1" ht="13.5" customHeight="1">
      <c r="A97" s="1285"/>
      <c r="B97" s="1286"/>
      <c r="C97" s="907" t="s">
        <v>2519</v>
      </c>
      <c r="D97" s="698"/>
      <c r="E97" s="903"/>
      <c r="F97" s="904">
        <f t="shared" si="48"/>
        <v>6075201</v>
      </c>
      <c r="G97" s="905">
        <f t="shared" ref="G97:N97" si="50">IF(G88="積上げ",0,G174)</f>
        <v>1189666</v>
      </c>
      <c r="H97" s="905">
        <f t="shared" si="50"/>
        <v>764819</v>
      </c>
      <c r="I97" s="905">
        <f t="shared" si="50"/>
        <v>4120716</v>
      </c>
      <c r="J97" s="905">
        <f t="shared" si="50"/>
        <v>0</v>
      </c>
      <c r="K97" s="905">
        <f t="shared" si="50"/>
        <v>0</v>
      </c>
      <c r="L97" s="905">
        <f t="shared" si="50"/>
        <v>0</v>
      </c>
      <c r="M97" s="905">
        <f t="shared" si="50"/>
        <v>0</v>
      </c>
      <c r="N97" s="906">
        <f t="shared" si="50"/>
        <v>0</v>
      </c>
    </row>
    <row r="98" spans="1:14" s="889" customFormat="1" ht="13.5" customHeight="1">
      <c r="A98" s="1285"/>
      <c r="B98" s="1286"/>
      <c r="C98" s="907" t="s">
        <v>2525</v>
      </c>
      <c r="D98" s="698"/>
      <c r="E98" s="903"/>
      <c r="F98" s="904">
        <f t="shared" si="48"/>
        <v>8870270</v>
      </c>
      <c r="G98" s="1056">
        <v>3843015</v>
      </c>
      <c r="H98" s="1056">
        <v>722557</v>
      </c>
      <c r="I98" s="1056">
        <v>4304698</v>
      </c>
      <c r="J98" s="1056"/>
      <c r="K98" s="1056"/>
      <c r="L98" s="1056"/>
      <c r="M98" s="1056"/>
      <c r="N98" s="1057"/>
    </row>
    <row r="99" spans="1:14" s="889" customFormat="1" ht="13.5" customHeight="1">
      <c r="A99" s="1285"/>
      <c r="B99" s="1286"/>
      <c r="C99" s="915" t="s">
        <v>2526</v>
      </c>
      <c r="D99" s="698"/>
      <c r="E99" s="903"/>
      <c r="F99" s="904">
        <f t="shared" si="48"/>
        <v>0</v>
      </c>
      <c r="G99" s="1056"/>
      <c r="H99" s="1056"/>
      <c r="I99" s="1056"/>
      <c r="J99" s="1056"/>
      <c r="K99" s="1056"/>
      <c r="L99" s="1056"/>
      <c r="M99" s="1056"/>
      <c r="N99" s="1057"/>
    </row>
    <row r="100" spans="1:14" s="889" customFormat="1" ht="13.5" customHeight="1">
      <c r="A100" s="1285"/>
      <c r="B100" s="1286"/>
      <c r="C100" s="916" t="s">
        <v>2527</v>
      </c>
      <c r="D100" s="917"/>
      <c r="E100" s="918"/>
      <c r="F100" s="919">
        <f t="shared" si="48"/>
        <v>0</v>
      </c>
      <c r="G100" s="1058"/>
      <c r="H100" s="1058"/>
      <c r="I100" s="1058"/>
      <c r="J100" s="1058"/>
      <c r="K100" s="1058"/>
      <c r="L100" s="1058"/>
      <c r="M100" s="1058"/>
      <c r="N100" s="1059"/>
    </row>
    <row r="101" spans="1:14" s="889" customFormat="1" ht="13.5" customHeight="1">
      <c r="A101" s="1060"/>
      <c r="B101" s="1061"/>
      <c r="C101" s="1062" t="s">
        <v>2601</v>
      </c>
      <c r="D101" s="1063"/>
      <c r="E101" s="938"/>
      <c r="F101" s="939">
        <f t="shared" si="48"/>
        <v>0</v>
      </c>
      <c r="G101" s="1064">
        <f>+G135</f>
        <v>0</v>
      </c>
      <c r="H101" s="1064">
        <f t="shared" ref="H101:N101" si="51">+H135</f>
        <v>0</v>
      </c>
      <c r="I101" s="1064">
        <f t="shared" si="51"/>
        <v>0</v>
      </c>
      <c r="J101" s="1064">
        <f t="shared" si="51"/>
        <v>0</v>
      </c>
      <c r="K101" s="1064">
        <f>+K135</f>
        <v>0</v>
      </c>
      <c r="L101" s="1064">
        <f t="shared" si="51"/>
        <v>0</v>
      </c>
      <c r="M101" s="1064">
        <f t="shared" si="51"/>
        <v>0</v>
      </c>
      <c r="N101" s="1065">
        <f t="shared" si="51"/>
        <v>0</v>
      </c>
    </row>
    <row r="102" spans="1:14" s="889" customFormat="1" ht="13.5" customHeight="1">
      <c r="A102" s="1285"/>
      <c r="B102" s="917" t="s">
        <v>2602</v>
      </c>
      <c r="C102" s="917"/>
      <c r="D102" s="917"/>
      <c r="E102" s="918"/>
      <c r="F102" s="919">
        <f t="shared" si="48"/>
        <v>52922916</v>
      </c>
      <c r="G102" s="1066">
        <f>G103+G108</f>
        <v>11022039</v>
      </c>
      <c r="H102" s="1066">
        <f t="shared" ref="H102:N102" si="52">H103+H108</f>
        <v>6712066</v>
      </c>
      <c r="I102" s="1066">
        <f t="shared" si="52"/>
        <v>35188811</v>
      </c>
      <c r="J102" s="1066">
        <f t="shared" si="52"/>
        <v>0</v>
      </c>
      <c r="K102" s="1066">
        <f>K103+K108</f>
        <v>0</v>
      </c>
      <c r="L102" s="1066">
        <f t="shared" si="52"/>
        <v>0</v>
      </c>
      <c r="M102" s="1066">
        <f t="shared" si="52"/>
        <v>0</v>
      </c>
      <c r="N102" s="1067">
        <f t="shared" si="52"/>
        <v>0</v>
      </c>
    </row>
    <row r="103" spans="1:14" s="889" customFormat="1" ht="13.5" customHeight="1">
      <c r="A103" s="1285"/>
      <c r="B103" s="1286"/>
      <c r="C103" s="691" t="s">
        <v>2603</v>
      </c>
      <c r="D103" s="691"/>
      <c r="E103" s="875"/>
      <c r="F103" s="900">
        <f t="shared" si="48"/>
        <v>23273755</v>
      </c>
      <c r="G103" s="1068">
        <f>G104+G107</f>
        <v>4792956</v>
      </c>
      <c r="H103" s="1068">
        <f t="shared" ref="H103:N103" si="53">H104+H107</f>
        <v>2736856</v>
      </c>
      <c r="I103" s="1068">
        <f t="shared" si="53"/>
        <v>15743943</v>
      </c>
      <c r="J103" s="1068">
        <f t="shared" si="53"/>
        <v>0</v>
      </c>
      <c r="K103" s="1068">
        <f>K104+K107</f>
        <v>0</v>
      </c>
      <c r="L103" s="1068">
        <f t="shared" si="53"/>
        <v>0</v>
      </c>
      <c r="M103" s="1068">
        <f t="shared" si="53"/>
        <v>0</v>
      </c>
      <c r="N103" s="1069">
        <f t="shared" si="53"/>
        <v>0</v>
      </c>
    </row>
    <row r="104" spans="1:14" s="889" customFormat="1" ht="13.5" customHeight="1">
      <c r="A104" s="1285"/>
      <c r="B104" s="1286"/>
      <c r="C104" s="1070" t="s">
        <v>2604</v>
      </c>
      <c r="D104" s="1070"/>
      <c r="E104" s="884"/>
      <c r="F104" s="904">
        <f t="shared" si="48"/>
        <v>23273755</v>
      </c>
      <c r="G104" s="1071">
        <f>SUM(G105:G106)-G107</f>
        <v>4792956</v>
      </c>
      <c r="H104" s="1071">
        <f t="shared" ref="H104:N104" si="54">SUM(H105:H106)-H107</f>
        <v>2736856</v>
      </c>
      <c r="I104" s="1071">
        <f t="shared" si="54"/>
        <v>15743943</v>
      </c>
      <c r="J104" s="1071">
        <f t="shared" si="54"/>
        <v>0</v>
      </c>
      <c r="K104" s="1071">
        <f>SUM(K105:K106)-K107</f>
        <v>0</v>
      </c>
      <c r="L104" s="1071">
        <f t="shared" si="54"/>
        <v>0</v>
      </c>
      <c r="M104" s="1071">
        <f t="shared" si="54"/>
        <v>0</v>
      </c>
      <c r="N104" s="1072">
        <f t="shared" si="54"/>
        <v>0</v>
      </c>
    </row>
    <row r="105" spans="1:14" s="889" customFormat="1" ht="13.5" customHeight="1">
      <c r="A105" s="1285"/>
      <c r="B105" s="1286"/>
      <c r="C105" s="1073" t="s">
        <v>2605</v>
      </c>
      <c r="D105" s="1073"/>
      <c r="E105" s="903"/>
      <c r="F105" s="904">
        <f t="shared" si="48"/>
        <v>23160157</v>
      </c>
      <c r="G105" s="905">
        <f>SUM(G200:G202)+G198</f>
        <v>4719792</v>
      </c>
      <c r="H105" s="905">
        <f t="shared" ref="H105:N105" si="55">SUM(H200:H202)+H198</f>
        <v>2736856</v>
      </c>
      <c r="I105" s="905">
        <f t="shared" si="55"/>
        <v>15703509</v>
      </c>
      <c r="J105" s="905">
        <f t="shared" si="55"/>
        <v>0</v>
      </c>
      <c r="K105" s="905">
        <f>SUM(K200:K202)+K198</f>
        <v>0</v>
      </c>
      <c r="L105" s="905">
        <f t="shared" si="55"/>
        <v>0</v>
      </c>
      <c r="M105" s="905">
        <f t="shared" si="55"/>
        <v>0</v>
      </c>
      <c r="N105" s="906">
        <f t="shared" si="55"/>
        <v>0</v>
      </c>
    </row>
    <row r="106" spans="1:14" s="889" customFormat="1" ht="13.5" customHeight="1">
      <c r="A106" s="1285"/>
      <c r="B106" s="1286"/>
      <c r="C106" s="1073" t="s">
        <v>2606</v>
      </c>
      <c r="D106" s="1073"/>
      <c r="E106" s="903"/>
      <c r="F106" s="904">
        <f t="shared" si="48"/>
        <v>113598</v>
      </c>
      <c r="G106" s="905">
        <f>SUM(G203:G214)</f>
        <v>73164</v>
      </c>
      <c r="H106" s="905">
        <f t="shared" ref="H106:N106" si="56">SUM(H203:H214)</f>
        <v>0</v>
      </c>
      <c r="I106" s="905">
        <f t="shared" si="56"/>
        <v>40434</v>
      </c>
      <c r="J106" s="905">
        <f>SUM(J203:J214)</f>
        <v>0</v>
      </c>
      <c r="K106" s="905">
        <f>SUM(K203:K214)</f>
        <v>0</v>
      </c>
      <c r="L106" s="905">
        <f t="shared" si="56"/>
        <v>0</v>
      </c>
      <c r="M106" s="905">
        <f t="shared" si="56"/>
        <v>0</v>
      </c>
      <c r="N106" s="906">
        <f t="shared" si="56"/>
        <v>0</v>
      </c>
    </row>
    <row r="107" spans="1:14" s="889" customFormat="1" ht="13.5" customHeight="1">
      <c r="A107" s="1285"/>
      <c r="B107" s="1286"/>
      <c r="C107" s="1073" t="s">
        <v>2607</v>
      </c>
      <c r="D107" s="1073"/>
      <c r="E107" s="903"/>
      <c r="F107" s="904">
        <f t="shared" si="48"/>
        <v>0</v>
      </c>
      <c r="G107" s="905">
        <f>+G212</f>
        <v>0</v>
      </c>
      <c r="H107" s="905">
        <f t="shared" ref="H107:N107" si="57">+H212</f>
        <v>0</v>
      </c>
      <c r="I107" s="905">
        <f t="shared" si="57"/>
        <v>0</v>
      </c>
      <c r="J107" s="905">
        <f t="shared" si="57"/>
        <v>0</v>
      </c>
      <c r="K107" s="905">
        <f>+K212</f>
        <v>0</v>
      </c>
      <c r="L107" s="905">
        <f t="shared" si="57"/>
        <v>0</v>
      </c>
      <c r="M107" s="905">
        <f t="shared" si="57"/>
        <v>0</v>
      </c>
      <c r="N107" s="906">
        <f t="shared" si="57"/>
        <v>0</v>
      </c>
    </row>
    <row r="108" spans="1:14" s="889" customFormat="1" ht="13.5" customHeight="1">
      <c r="A108" s="1285"/>
      <c r="B108" s="1286"/>
      <c r="C108" s="698" t="s">
        <v>2608</v>
      </c>
      <c r="D108" s="698"/>
      <c r="E108" s="903"/>
      <c r="F108" s="904">
        <f t="shared" si="48"/>
        <v>29649161</v>
      </c>
      <c r="G108" s="905">
        <f>SUM(G109:G112)</f>
        <v>6229083</v>
      </c>
      <c r="H108" s="905">
        <f t="shared" ref="H108:N108" si="58">SUM(H109:H112)</f>
        <v>3975210</v>
      </c>
      <c r="I108" s="905">
        <f t="shared" si="58"/>
        <v>19444868</v>
      </c>
      <c r="J108" s="905">
        <f t="shared" si="58"/>
        <v>0</v>
      </c>
      <c r="K108" s="905">
        <f t="shared" si="58"/>
        <v>0</v>
      </c>
      <c r="L108" s="905">
        <f t="shared" si="58"/>
        <v>0</v>
      </c>
      <c r="M108" s="905">
        <f t="shared" si="58"/>
        <v>0</v>
      </c>
      <c r="N108" s="906">
        <f t="shared" si="58"/>
        <v>0</v>
      </c>
    </row>
    <row r="109" spans="1:14" s="889" customFormat="1" ht="13.5" customHeight="1">
      <c r="A109" s="1285"/>
      <c r="B109" s="1286"/>
      <c r="C109" s="1073" t="s">
        <v>2605</v>
      </c>
      <c r="D109" s="1073"/>
      <c r="E109" s="903"/>
      <c r="F109" s="1074">
        <f t="shared" si="48"/>
        <v>28146698</v>
      </c>
      <c r="G109" s="905">
        <f>IF(G237=0,0,+G237-G254)</f>
        <v>5913449</v>
      </c>
      <c r="H109" s="905">
        <f t="shared" ref="H109:N109" si="59">IF(H237=0,0,+H237-H254)</f>
        <v>3773753</v>
      </c>
      <c r="I109" s="905">
        <f t="shared" si="59"/>
        <v>18459496</v>
      </c>
      <c r="J109" s="905">
        <f t="shared" si="59"/>
        <v>0</v>
      </c>
      <c r="K109" s="905">
        <f t="shared" si="59"/>
        <v>0</v>
      </c>
      <c r="L109" s="905">
        <f t="shared" si="59"/>
        <v>0</v>
      </c>
      <c r="M109" s="905">
        <f t="shared" si="59"/>
        <v>0</v>
      </c>
      <c r="N109" s="906">
        <f t="shared" si="59"/>
        <v>0</v>
      </c>
    </row>
    <row r="110" spans="1:14" s="889" customFormat="1" ht="13.5" customHeight="1">
      <c r="A110" s="1285"/>
      <c r="B110" s="1286"/>
      <c r="C110" s="1073" t="s">
        <v>2609</v>
      </c>
      <c r="D110" s="1073"/>
      <c r="E110" s="903"/>
      <c r="F110" s="904">
        <f t="shared" si="48"/>
        <v>1502463</v>
      </c>
      <c r="G110" s="905">
        <f>+G238+G239</f>
        <v>315634</v>
      </c>
      <c r="H110" s="905">
        <f t="shared" ref="H110:N110" si="60">+H238+H239</f>
        <v>201457</v>
      </c>
      <c r="I110" s="905">
        <f t="shared" si="60"/>
        <v>985372</v>
      </c>
      <c r="J110" s="905">
        <f>+J238+J239</f>
        <v>0</v>
      </c>
      <c r="K110" s="905">
        <f>+K238+K239</f>
        <v>0</v>
      </c>
      <c r="L110" s="905">
        <f t="shared" si="60"/>
        <v>0</v>
      </c>
      <c r="M110" s="905">
        <f t="shared" si="60"/>
        <v>0</v>
      </c>
      <c r="N110" s="906">
        <f t="shared" si="60"/>
        <v>0</v>
      </c>
    </row>
    <row r="111" spans="1:14" s="889" customFormat="1" ht="13.5" customHeight="1">
      <c r="A111" s="1285"/>
      <c r="B111" s="1286"/>
      <c r="C111" s="1073" t="s">
        <v>2610</v>
      </c>
      <c r="D111" s="1073"/>
      <c r="E111" s="903"/>
      <c r="F111" s="904">
        <f t="shared" si="48"/>
        <v>0</v>
      </c>
      <c r="G111" s="905">
        <f>SUM(G240:G244)</f>
        <v>0</v>
      </c>
      <c r="H111" s="905">
        <f t="shared" ref="H111:N111" si="61">SUM(H240:H244)</f>
        <v>0</v>
      </c>
      <c r="I111" s="905">
        <f t="shared" si="61"/>
        <v>0</v>
      </c>
      <c r="J111" s="905">
        <f>SUM(J240:J244)</f>
        <v>0</v>
      </c>
      <c r="K111" s="905">
        <f>SUM(K240:K244)</f>
        <v>0</v>
      </c>
      <c r="L111" s="905">
        <f t="shared" si="61"/>
        <v>0</v>
      </c>
      <c r="M111" s="905">
        <f t="shared" si="61"/>
        <v>0</v>
      </c>
      <c r="N111" s="906">
        <f t="shared" si="61"/>
        <v>0</v>
      </c>
    </row>
    <row r="112" spans="1:14" s="889" customFormat="1" ht="13.5" customHeight="1">
      <c r="A112" s="1285"/>
      <c r="B112" s="1286"/>
      <c r="C112" s="917" t="s">
        <v>2611</v>
      </c>
      <c r="D112" s="1286"/>
      <c r="E112" s="918"/>
      <c r="F112" s="919">
        <f t="shared" si="48"/>
        <v>0</v>
      </c>
      <c r="G112" s="1066">
        <f>IF(G245=0,0,+G245-G254)</f>
        <v>0</v>
      </c>
      <c r="H112" s="1066">
        <f t="shared" ref="H112:N112" si="62">IF(H245=0,0,+H245-H254)</f>
        <v>0</v>
      </c>
      <c r="I112" s="1066">
        <f t="shared" si="62"/>
        <v>0</v>
      </c>
      <c r="J112" s="1066">
        <f t="shared" si="62"/>
        <v>0</v>
      </c>
      <c r="K112" s="1066">
        <f t="shared" si="62"/>
        <v>0</v>
      </c>
      <c r="L112" s="1066">
        <f t="shared" si="62"/>
        <v>0</v>
      </c>
      <c r="M112" s="1066">
        <f t="shared" si="62"/>
        <v>0</v>
      </c>
      <c r="N112" s="1067">
        <f t="shared" si="62"/>
        <v>0</v>
      </c>
    </row>
    <row r="113" spans="1:14" s="889" customFormat="1" ht="13.5" customHeight="1">
      <c r="A113" s="1075"/>
      <c r="B113" s="895" t="s">
        <v>2612</v>
      </c>
      <c r="C113" s="895"/>
      <c r="D113" s="895"/>
      <c r="E113" s="1076"/>
      <c r="F113" s="897">
        <f t="shared" si="48"/>
        <v>265700000</v>
      </c>
      <c r="G113" s="898">
        <f>G91+G102</f>
        <v>55818000</v>
      </c>
      <c r="H113" s="898">
        <f t="shared" ref="H113:N113" si="63">H91+H102</f>
        <v>35626000</v>
      </c>
      <c r="I113" s="898">
        <f t="shared" si="63"/>
        <v>174256000</v>
      </c>
      <c r="J113" s="898">
        <f t="shared" si="63"/>
        <v>0</v>
      </c>
      <c r="K113" s="898">
        <f>K91+K102</f>
        <v>0</v>
      </c>
      <c r="L113" s="898">
        <f t="shared" si="63"/>
        <v>0</v>
      </c>
      <c r="M113" s="898">
        <f t="shared" si="63"/>
        <v>0</v>
      </c>
      <c r="N113" s="899">
        <f t="shared" si="63"/>
        <v>0</v>
      </c>
    </row>
    <row r="114" spans="1:14" s="889" customFormat="1" ht="15" customHeight="1">
      <c r="A114" s="1077"/>
      <c r="B114" s="1286"/>
      <c r="C114" s="1078" t="s">
        <v>2613</v>
      </c>
      <c r="D114" s="1078"/>
      <c r="E114" s="1079"/>
      <c r="F114" s="1033"/>
      <c r="G114" s="1080" t="s">
        <v>2614</v>
      </c>
      <c r="H114" s="1081"/>
      <c r="I114" s="1037"/>
      <c r="J114" s="1037"/>
      <c r="K114" s="1037"/>
      <c r="L114" s="1037"/>
      <c r="M114" s="1037"/>
      <c r="N114" s="1037"/>
    </row>
    <row r="115" spans="1:14" s="889" customFormat="1" ht="15" customHeight="1">
      <c r="A115" s="870"/>
      <c r="B115" s="871"/>
      <c r="C115" s="871"/>
      <c r="D115" s="871"/>
      <c r="E115" s="1082"/>
      <c r="F115" s="1083" t="s">
        <v>2505</v>
      </c>
      <c r="G115" s="1084" t="str">
        <f t="shared" ref="G115:N115" si="64">+G86</f>
        <v>工事6</v>
      </c>
      <c r="H115" s="1084" t="str">
        <f t="shared" si="64"/>
        <v>工事7</v>
      </c>
      <c r="I115" s="1084" t="str">
        <f t="shared" si="64"/>
        <v>工事8</v>
      </c>
      <c r="J115" s="1084">
        <f t="shared" si="64"/>
        <v>0</v>
      </c>
      <c r="K115" s="1084">
        <f t="shared" si="64"/>
        <v>0</v>
      </c>
      <c r="L115" s="1084">
        <f t="shared" si="64"/>
        <v>0</v>
      </c>
      <c r="M115" s="1084">
        <f t="shared" si="64"/>
        <v>0</v>
      </c>
      <c r="N115" s="1085">
        <f t="shared" si="64"/>
        <v>0</v>
      </c>
    </row>
    <row r="116" spans="1:14" s="889" customFormat="1" ht="15" customHeight="1">
      <c r="A116" s="922" t="s">
        <v>2528</v>
      </c>
      <c r="B116" s="923"/>
      <c r="C116" s="924"/>
      <c r="D116" s="924"/>
      <c r="E116" s="925"/>
      <c r="F116" s="926"/>
      <c r="G116" s="927"/>
      <c r="H116" s="927"/>
      <c r="I116" s="927"/>
      <c r="J116" s="927"/>
      <c r="K116" s="927"/>
      <c r="L116" s="927"/>
      <c r="M116" s="927"/>
      <c r="N116" s="928"/>
    </row>
    <row r="117" spans="1:14" s="889" customFormat="1" ht="15" customHeight="1">
      <c r="A117" s="2753"/>
      <c r="B117" s="2755" t="s">
        <v>2529</v>
      </c>
      <c r="C117" s="692" t="s">
        <v>2530</v>
      </c>
      <c r="D117" s="692"/>
      <c r="E117" s="875"/>
      <c r="F117" s="900">
        <f t="shared" ref="F117:F123" si="65">SUM(G117:N117)</f>
        <v>0</v>
      </c>
      <c r="G117" s="1068">
        <f t="shared" ref="G117:N117" si="66">IF(G85="新営",G92-SUM(G119:G130)-G134-G133,0)</f>
        <v>0</v>
      </c>
      <c r="H117" s="1068">
        <f t="shared" si="66"/>
        <v>0</v>
      </c>
      <c r="I117" s="1068">
        <f t="shared" si="66"/>
        <v>0</v>
      </c>
      <c r="J117" s="1068">
        <f t="shared" si="66"/>
        <v>0</v>
      </c>
      <c r="K117" s="1068">
        <f t="shared" si="66"/>
        <v>0</v>
      </c>
      <c r="L117" s="1068">
        <f t="shared" si="66"/>
        <v>0</v>
      </c>
      <c r="M117" s="1068">
        <f t="shared" si="66"/>
        <v>0</v>
      </c>
      <c r="N117" s="1068">
        <f t="shared" si="66"/>
        <v>0</v>
      </c>
    </row>
    <row r="118" spans="1:14" s="889" customFormat="1" ht="14.25" customHeight="1">
      <c r="A118" s="2753"/>
      <c r="B118" s="2756"/>
      <c r="C118" s="699" t="s">
        <v>2531</v>
      </c>
      <c r="D118" s="699"/>
      <c r="E118" s="903"/>
      <c r="F118" s="904">
        <f t="shared" si="65"/>
        <v>191604979</v>
      </c>
      <c r="G118" s="905">
        <f t="shared" ref="G118:N118" si="67">IF(G85="改修",G92-SUM(G119:G130)-G134-G133,0)</f>
        <v>36045217</v>
      </c>
      <c r="H118" s="905">
        <f t="shared" si="67"/>
        <v>27412900</v>
      </c>
      <c r="I118" s="905">
        <f t="shared" si="67"/>
        <v>128146862</v>
      </c>
      <c r="J118" s="905">
        <f t="shared" si="67"/>
        <v>0</v>
      </c>
      <c r="K118" s="905">
        <f t="shared" si="67"/>
        <v>0</v>
      </c>
      <c r="L118" s="905">
        <f t="shared" si="67"/>
        <v>0</v>
      </c>
      <c r="M118" s="905">
        <f t="shared" si="67"/>
        <v>0</v>
      </c>
      <c r="N118" s="905">
        <f t="shared" si="67"/>
        <v>0</v>
      </c>
    </row>
    <row r="119" spans="1:14" s="889" customFormat="1" ht="15" customHeight="1">
      <c r="A119" s="2753"/>
      <c r="B119" s="2756"/>
      <c r="C119" s="929" t="s">
        <v>2532</v>
      </c>
      <c r="D119" s="699"/>
      <c r="E119" s="903"/>
      <c r="F119" s="904">
        <f t="shared" si="65"/>
        <v>0</v>
      </c>
      <c r="G119" s="1056"/>
      <c r="H119" s="1056"/>
      <c r="I119" s="1056"/>
      <c r="J119" s="1056"/>
      <c r="K119" s="1056"/>
      <c r="L119" s="1056"/>
      <c r="M119" s="1056"/>
      <c r="N119" s="1057"/>
    </row>
    <row r="120" spans="1:14" s="889" customFormat="1" ht="15" customHeight="1">
      <c r="A120" s="2753"/>
      <c r="B120" s="2757"/>
      <c r="C120" s="929" t="s">
        <v>2533</v>
      </c>
      <c r="D120" s="699"/>
      <c r="E120" s="903"/>
      <c r="F120" s="904">
        <f t="shared" si="65"/>
        <v>0</v>
      </c>
      <c r="G120" s="1056"/>
      <c r="H120" s="1056"/>
      <c r="I120" s="1056"/>
      <c r="J120" s="1056"/>
      <c r="K120" s="1056"/>
      <c r="L120" s="1056"/>
      <c r="M120" s="1056"/>
      <c r="N120" s="1057"/>
    </row>
    <row r="121" spans="1:14" s="889" customFormat="1" ht="15" customHeight="1">
      <c r="A121" s="2753"/>
      <c r="B121" s="2758" t="s">
        <v>2534</v>
      </c>
      <c r="C121" s="698" t="s">
        <v>2616</v>
      </c>
      <c r="D121" s="699"/>
      <c r="E121" s="903"/>
      <c r="F121" s="904">
        <f t="shared" si="65"/>
        <v>0</v>
      </c>
      <c r="G121" s="1056"/>
      <c r="H121" s="1056"/>
      <c r="I121" s="1056"/>
      <c r="J121" s="1056"/>
      <c r="K121" s="1056"/>
      <c r="L121" s="1056"/>
      <c r="M121" s="1056"/>
      <c r="N121" s="1057"/>
    </row>
    <row r="122" spans="1:14" s="889" customFormat="1" ht="15" customHeight="1">
      <c r="A122" s="2753"/>
      <c r="B122" s="2756"/>
      <c r="C122" s="698" t="s">
        <v>2536</v>
      </c>
      <c r="D122" s="699"/>
      <c r="E122" s="903"/>
      <c r="F122" s="904">
        <f t="shared" si="65"/>
        <v>0</v>
      </c>
      <c r="G122" s="1056"/>
      <c r="H122" s="1056"/>
      <c r="I122" s="1056"/>
      <c r="J122" s="1056"/>
      <c r="K122" s="1056"/>
      <c r="L122" s="1056"/>
      <c r="M122" s="1056"/>
      <c r="N122" s="1057"/>
    </row>
    <row r="123" spans="1:14" s="889" customFormat="1" ht="15" customHeight="1">
      <c r="A123" s="2753"/>
      <c r="B123" s="2756"/>
      <c r="C123" s="699" t="s">
        <v>2537</v>
      </c>
      <c r="D123" s="699"/>
      <c r="E123" s="903"/>
      <c r="F123" s="904">
        <f t="shared" si="65"/>
        <v>5623700</v>
      </c>
      <c r="G123" s="1056">
        <v>3622000</v>
      </c>
      <c r="H123" s="1056"/>
      <c r="I123" s="1056">
        <v>2001700</v>
      </c>
      <c r="J123" s="1056"/>
      <c r="K123" s="1056"/>
      <c r="L123" s="1056"/>
      <c r="M123" s="1056"/>
      <c r="N123" s="1057"/>
    </row>
    <row r="124" spans="1:14" s="889" customFormat="1" ht="15" customHeight="1">
      <c r="A124" s="2753"/>
      <c r="B124" s="2756"/>
      <c r="C124" s="699" t="s">
        <v>2617</v>
      </c>
      <c r="D124" s="699"/>
      <c r="E124" s="903"/>
      <c r="F124" s="904"/>
      <c r="G124" s="905"/>
      <c r="H124" s="905"/>
      <c r="I124" s="905"/>
      <c r="J124" s="905"/>
      <c r="K124" s="905"/>
      <c r="L124" s="905"/>
      <c r="M124" s="905"/>
      <c r="N124" s="906"/>
    </row>
    <row r="125" spans="1:14" s="889" customFormat="1" ht="15" customHeight="1">
      <c r="A125" s="2753"/>
      <c r="B125" s="2756"/>
      <c r="C125" s="699" t="s">
        <v>2539</v>
      </c>
      <c r="D125" s="699"/>
      <c r="E125" s="903"/>
      <c r="F125" s="904"/>
      <c r="G125" s="905"/>
      <c r="H125" s="905"/>
      <c r="I125" s="905"/>
      <c r="J125" s="905"/>
      <c r="K125" s="905"/>
      <c r="L125" s="905"/>
      <c r="M125" s="905"/>
      <c r="N125" s="906"/>
    </row>
    <row r="126" spans="1:14" s="889" customFormat="1" ht="15" customHeight="1">
      <c r="A126" s="2753"/>
      <c r="B126" s="2756"/>
      <c r="C126" s="699" t="s">
        <v>2540</v>
      </c>
      <c r="D126" s="699"/>
      <c r="E126" s="903"/>
      <c r="F126" s="904">
        <f t="shared" ref="F126:F136" si="68">SUM(G126:N126)</f>
        <v>0</v>
      </c>
      <c r="G126" s="1056"/>
      <c r="H126" s="1056"/>
      <c r="I126" s="1056"/>
      <c r="J126" s="1056"/>
      <c r="K126" s="1056"/>
      <c r="L126" s="1056"/>
      <c r="M126" s="1056"/>
      <c r="N126" s="1057"/>
    </row>
    <row r="127" spans="1:14" s="889" customFormat="1" ht="15" customHeight="1">
      <c r="A127" s="2753"/>
      <c r="B127" s="2756"/>
      <c r="C127" s="930" t="s">
        <v>2541</v>
      </c>
      <c r="D127" s="699"/>
      <c r="E127" s="903"/>
      <c r="F127" s="904">
        <f t="shared" si="68"/>
        <v>0</v>
      </c>
      <c r="G127" s="1056"/>
      <c r="H127" s="1056"/>
      <c r="I127" s="1056"/>
      <c r="J127" s="1056"/>
      <c r="K127" s="1056"/>
      <c r="L127" s="1056"/>
      <c r="M127" s="1056"/>
      <c r="N127" s="1057"/>
    </row>
    <row r="128" spans="1:14" s="889" customFormat="1" ht="15" customHeight="1">
      <c r="A128" s="2753"/>
      <c r="B128" s="2756"/>
      <c r="C128" s="931" t="s">
        <v>2619</v>
      </c>
      <c r="D128" s="699"/>
      <c r="E128" s="903"/>
      <c r="F128" s="904">
        <f t="shared" si="68"/>
        <v>0</v>
      </c>
      <c r="G128" s="1056"/>
      <c r="H128" s="1056"/>
      <c r="I128" s="1056"/>
      <c r="J128" s="1056"/>
      <c r="K128" s="1056"/>
      <c r="L128" s="1056"/>
      <c r="M128" s="1056"/>
      <c r="N128" s="1057"/>
    </row>
    <row r="129" spans="1:14" s="889" customFormat="1" ht="15" customHeight="1">
      <c r="A129" s="2753"/>
      <c r="B129" s="2757"/>
      <c r="C129" s="699" t="s">
        <v>2543</v>
      </c>
      <c r="D129" s="699"/>
      <c r="E129" s="903"/>
      <c r="F129" s="904">
        <f t="shared" si="68"/>
        <v>0</v>
      </c>
      <c r="G129" s="1056"/>
      <c r="H129" s="1056"/>
      <c r="I129" s="1056"/>
      <c r="J129" s="1056"/>
      <c r="K129" s="1056"/>
      <c r="L129" s="1056"/>
      <c r="M129" s="1056"/>
      <c r="N129" s="1057"/>
    </row>
    <row r="130" spans="1:14" s="889" customFormat="1" ht="15" customHeight="1">
      <c r="A130" s="2753"/>
      <c r="B130" s="2758" t="s">
        <v>2544</v>
      </c>
      <c r="C130" s="929" t="s">
        <v>2545</v>
      </c>
      <c r="D130" s="699"/>
      <c r="E130" s="903"/>
      <c r="F130" s="904">
        <f t="shared" si="68"/>
        <v>602934</v>
      </c>
      <c r="G130" s="1056">
        <v>96063</v>
      </c>
      <c r="H130" s="1056">
        <v>13658</v>
      </c>
      <c r="I130" s="1056">
        <v>493213</v>
      </c>
      <c r="J130" s="1056"/>
      <c r="K130" s="1056"/>
      <c r="L130" s="1056"/>
      <c r="M130" s="1056"/>
      <c r="N130" s="1057"/>
    </row>
    <row r="131" spans="1:14" s="889" customFormat="1" ht="15" customHeight="1">
      <c r="A131" s="2753"/>
      <c r="B131" s="2756"/>
      <c r="C131" s="929" t="s">
        <v>2546</v>
      </c>
      <c r="D131" s="699"/>
      <c r="E131" s="903"/>
      <c r="F131" s="904">
        <f t="shared" si="68"/>
        <v>0</v>
      </c>
      <c r="G131" s="905">
        <f t="shared" ref="G131:N131" si="69">+G100</f>
        <v>0</v>
      </c>
      <c r="H131" s="905">
        <f t="shared" si="69"/>
        <v>0</v>
      </c>
      <c r="I131" s="905">
        <f t="shared" si="69"/>
        <v>0</v>
      </c>
      <c r="J131" s="905">
        <f>+J100</f>
        <v>0</v>
      </c>
      <c r="K131" s="905">
        <f>+K100</f>
        <v>0</v>
      </c>
      <c r="L131" s="905">
        <f t="shared" si="69"/>
        <v>0</v>
      </c>
      <c r="M131" s="905">
        <f t="shared" si="69"/>
        <v>0</v>
      </c>
      <c r="N131" s="906">
        <f t="shared" si="69"/>
        <v>0</v>
      </c>
    </row>
    <row r="132" spans="1:14" s="889" customFormat="1" ht="15" customHeight="1">
      <c r="A132" s="2753"/>
      <c r="B132" s="2756"/>
      <c r="C132" s="699" t="s">
        <v>2547</v>
      </c>
      <c r="D132" s="699"/>
      <c r="E132" s="903"/>
      <c r="F132" s="904">
        <f t="shared" si="68"/>
        <v>0</v>
      </c>
      <c r="G132" s="905">
        <f>+G99</f>
        <v>0</v>
      </c>
      <c r="H132" s="905">
        <f t="shared" ref="H132:N132" si="70">+H99</f>
        <v>0</v>
      </c>
      <c r="I132" s="905">
        <f t="shared" si="70"/>
        <v>0</v>
      </c>
      <c r="J132" s="905">
        <f>+J99</f>
        <v>0</v>
      </c>
      <c r="K132" s="905">
        <f>+K99</f>
        <v>0</v>
      </c>
      <c r="L132" s="905">
        <f t="shared" si="70"/>
        <v>0</v>
      </c>
      <c r="M132" s="905">
        <f t="shared" si="70"/>
        <v>0</v>
      </c>
      <c r="N132" s="906">
        <f t="shared" si="70"/>
        <v>0</v>
      </c>
    </row>
    <row r="133" spans="1:14" s="889" customFormat="1" ht="15" customHeight="1">
      <c r="A133" s="2753"/>
      <c r="B133" s="2756"/>
      <c r="C133" s="699" t="s">
        <v>2548</v>
      </c>
      <c r="D133" s="699"/>
      <c r="E133" s="903"/>
      <c r="F133" s="904">
        <f t="shared" si="68"/>
        <v>0</v>
      </c>
      <c r="G133" s="1056"/>
      <c r="H133" s="1056"/>
      <c r="I133" s="1056"/>
      <c r="J133" s="1056"/>
      <c r="K133" s="1056"/>
      <c r="L133" s="1056"/>
      <c r="M133" s="1056"/>
      <c r="N133" s="1057"/>
    </row>
    <row r="134" spans="1:14" s="889" customFormat="1" ht="15" customHeight="1">
      <c r="A134" s="2753"/>
      <c r="B134" s="2756"/>
      <c r="C134" s="933" t="s">
        <v>2549</v>
      </c>
      <c r="D134" s="933"/>
      <c r="E134" s="934"/>
      <c r="F134" s="904">
        <f t="shared" si="68"/>
        <v>0</v>
      </c>
      <c r="G134" s="1086"/>
      <c r="H134" s="1086"/>
      <c r="I134" s="1086"/>
      <c r="J134" s="1086"/>
      <c r="K134" s="1086"/>
      <c r="L134" s="1086"/>
      <c r="M134" s="1086"/>
      <c r="N134" s="1087"/>
    </row>
    <row r="135" spans="1:14" s="889" customFormat="1" ht="15" customHeight="1">
      <c r="A135" s="2753"/>
      <c r="B135" s="2756"/>
      <c r="C135" s="933" t="s">
        <v>2550</v>
      </c>
      <c r="D135" s="933"/>
      <c r="E135" s="934"/>
      <c r="F135" s="904">
        <f t="shared" si="68"/>
        <v>0</v>
      </c>
      <c r="G135" s="1086"/>
      <c r="H135" s="1086"/>
      <c r="I135" s="1086"/>
      <c r="J135" s="1086"/>
      <c r="K135" s="1086"/>
      <c r="L135" s="1086"/>
      <c r="M135" s="1086"/>
      <c r="N135" s="1087"/>
    </row>
    <row r="136" spans="1:14" s="889" customFormat="1" ht="15" customHeight="1">
      <c r="A136" s="2754"/>
      <c r="B136" s="2759"/>
      <c r="C136" s="937" t="s">
        <v>2551</v>
      </c>
      <c r="D136" s="937"/>
      <c r="E136" s="938"/>
      <c r="F136" s="939">
        <f t="shared" si="68"/>
        <v>0</v>
      </c>
      <c r="G136" s="1088"/>
      <c r="H136" s="1088"/>
      <c r="I136" s="1088"/>
      <c r="J136" s="1088"/>
      <c r="K136" s="1088"/>
      <c r="L136" s="1088"/>
      <c r="M136" s="1088"/>
      <c r="N136" s="1089"/>
    </row>
    <row r="137" spans="1:14" s="889" customFormat="1" ht="15" hidden="1" customHeight="1">
      <c r="A137" s="1286"/>
      <c r="B137" s="1286"/>
      <c r="C137" s="1090" t="s">
        <v>2620</v>
      </c>
      <c r="D137" s="1090"/>
      <c r="E137" s="916"/>
      <c r="F137" s="1033"/>
      <c r="G137" s="1037"/>
      <c r="H137" s="1037"/>
      <c r="I137" s="1037"/>
      <c r="J137" s="1037"/>
      <c r="K137" s="1037"/>
      <c r="L137" s="1037"/>
      <c r="M137" s="1037"/>
      <c r="N137" s="1091" t="s">
        <v>2621</v>
      </c>
    </row>
    <row r="138" spans="1:14" s="889" customFormat="1" ht="15" hidden="1" customHeight="1">
      <c r="A138" s="1286"/>
      <c r="B138" s="1286"/>
      <c r="C138" s="923" t="s">
        <v>2622</v>
      </c>
      <c r="D138" s="923"/>
      <c r="E138" s="916"/>
      <c r="F138" s="1033"/>
      <c r="G138" s="1037"/>
      <c r="H138" s="1037"/>
      <c r="I138" s="1037"/>
      <c r="J138" s="1037"/>
      <c r="K138" s="1037"/>
      <c r="L138" s="1037"/>
      <c r="M138" s="1037"/>
      <c r="N138" s="1091"/>
    </row>
    <row r="139" spans="1:14" s="889" customFormat="1" ht="15" hidden="1" customHeight="1">
      <c r="A139" s="870"/>
      <c r="B139" s="871"/>
      <c r="C139" s="871"/>
      <c r="D139" s="2767" t="s">
        <v>2623</v>
      </c>
      <c r="E139" s="2767" t="s">
        <v>2624</v>
      </c>
      <c r="F139" s="1083" t="s">
        <v>2505</v>
      </c>
      <c r="G139" s="1084" t="str">
        <f t="shared" ref="G139:N139" si="71">+G86</f>
        <v>工事6</v>
      </c>
      <c r="H139" s="1084" t="str">
        <f t="shared" si="71"/>
        <v>工事7</v>
      </c>
      <c r="I139" s="1084" t="str">
        <f t="shared" si="71"/>
        <v>工事8</v>
      </c>
      <c r="J139" s="1084">
        <f t="shared" si="71"/>
        <v>0</v>
      </c>
      <c r="K139" s="1084">
        <f t="shared" si="71"/>
        <v>0</v>
      </c>
      <c r="L139" s="1084">
        <f t="shared" si="71"/>
        <v>0</v>
      </c>
      <c r="M139" s="1084">
        <f t="shared" si="71"/>
        <v>0</v>
      </c>
      <c r="N139" s="1085">
        <f t="shared" si="71"/>
        <v>0</v>
      </c>
    </row>
    <row r="140" spans="1:14" s="889" customFormat="1" ht="15" hidden="1" customHeight="1">
      <c r="A140" s="2769" t="s">
        <v>2625</v>
      </c>
      <c r="B140" s="2770"/>
      <c r="C140" s="2771"/>
      <c r="D140" s="2768"/>
      <c r="E140" s="2768"/>
      <c r="F140" s="1092"/>
      <c r="G140" s="1093"/>
      <c r="H140" s="1093"/>
      <c r="I140" s="1093"/>
      <c r="J140" s="1093"/>
      <c r="K140" s="1093"/>
      <c r="L140" s="1093"/>
      <c r="M140" s="1093"/>
      <c r="N140" s="1094"/>
    </row>
    <row r="141" spans="1:14" s="889" customFormat="1" ht="15" hidden="1" customHeight="1">
      <c r="A141" s="2772"/>
      <c r="B141" s="1095" t="s">
        <v>2626</v>
      </c>
      <c r="C141" s="1096"/>
      <c r="D141" s="1097"/>
      <c r="E141" s="1098"/>
      <c r="F141" s="1099">
        <f t="shared" ref="F141:F148" si="72">SUM(G141:N141)</f>
        <v>197228679</v>
      </c>
      <c r="G141" s="1100">
        <f>SUM(G117:G129)+G133</f>
        <v>39667217</v>
      </c>
      <c r="H141" s="1100">
        <f t="shared" ref="H141:N141" si="73">SUM(H117:H129)+H133</f>
        <v>27412900</v>
      </c>
      <c r="I141" s="1100">
        <f t="shared" si="73"/>
        <v>130148562</v>
      </c>
      <c r="J141" s="1100">
        <f t="shared" si="73"/>
        <v>0</v>
      </c>
      <c r="K141" s="1100">
        <f t="shared" si="73"/>
        <v>0</v>
      </c>
      <c r="L141" s="1100">
        <f t="shared" si="73"/>
        <v>0</v>
      </c>
      <c r="M141" s="1100">
        <f t="shared" si="73"/>
        <v>0</v>
      </c>
      <c r="N141" s="1100">
        <f t="shared" si="73"/>
        <v>0</v>
      </c>
    </row>
    <row r="142" spans="1:14" s="889" customFormat="1" ht="15" hidden="1" customHeight="1">
      <c r="A142" s="2773"/>
      <c r="B142" s="2758" t="s">
        <v>2529</v>
      </c>
      <c r="C142" s="1101" t="s">
        <v>2530</v>
      </c>
      <c r="D142" s="1102">
        <v>1</v>
      </c>
      <c r="E142" s="1103" t="s">
        <v>2627</v>
      </c>
      <c r="F142" s="904">
        <f t="shared" si="72"/>
        <v>0</v>
      </c>
      <c r="G142" s="905">
        <f t="shared" ref="G142:N142" si="74">IF(G88="積上げ",0,+G117)</f>
        <v>0</v>
      </c>
      <c r="H142" s="905">
        <f t="shared" si="74"/>
        <v>0</v>
      </c>
      <c r="I142" s="905">
        <f t="shared" si="74"/>
        <v>0</v>
      </c>
      <c r="J142" s="905">
        <f t="shared" si="74"/>
        <v>0</v>
      </c>
      <c r="K142" s="905">
        <f t="shared" si="74"/>
        <v>0</v>
      </c>
      <c r="L142" s="905">
        <f t="shared" si="74"/>
        <v>0</v>
      </c>
      <c r="M142" s="905">
        <f t="shared" si="74"/>
        <v>0</v>
      </c>
      <c r="N142" s="905">
        <f t="shared" si="74"/>
        <v>0</v>
      </c>
    </row>
    <row r="143" spans="1:14" s="889" customFormat="1" ht="15" hidden="1" customHeight="1">
      <c r="A143" s="2773"/>
      <c r="B143" s="2756"/>
      <c r="C143" s="1101" t="s">
        <v>2531</v>
      </c>
      <c r="D143" s="1102">
        <v>1</v>
      </c>
      <c r="E143" s="1103" t="s">
        <v>2627</v>
      </c>
      <c r="F143" s="904">
        <f t="shared" si="72"/>
        <v>191604979</v>
      </c>
      <c r="G143" s="905">
        <f t="shared" ref="G143:N143" si="75">IF(G88="積上げ",0,+G118)</f>
        <v>36045217</v>
      </c>
      <c r="H143" s="905">
        <f t="shared" si="75"/>
        <v>27412900</v>
      </c>
      <c r="I143" s="905">
        <f t="shared" si="75"/>
        <v>128146862</v>
      </c>
      <c r="J143" s="905">
        <f t="shared" si="75"/>
        <v>0</v>
      </c>
      <c r="K143" s="905">
        <f t="shared" si="75"/>
        <v>0</v>
      </c>
      <c r="L143" s="905">
        <f t="shared" si="75"/>
        <v>0</v>
      </c>
      <c r="M143" s="905">
        <f t="shared" si="75"/>
        <v>0</v>
      </c>
      <c r="N143" s="905">
        <f t="shared" si="75"/>
        <v>0</v>
      </c>
    </row>
    <row r="144" spans="1:14" s="889" customFormat="1" ht="15" hidden="1" customHeight="1">
      <c r="A144" s="2773"/>
      <c r="B144" s="2756"/>
      <c r="C144" s="1101" t="s">
        <v>2628</v>
      </c>
      <c r="D144" s="1102">
        <v>0.9</v>
      </c>
      <c r="E144" s="1103" t="s">
        <v>2627</v>
      </c>
      <c r="F144" s="904">
        <f t="shared" si="72"/>
        <v>0</v>
      </c>
      <c r="G144" s="905">
        <f t="shared" ref="G144:N144" si="76">IF(G88="積上げ",0,+G119)</f>
        <v>0</v>
      </c>
      <c r="H144" s="905">
        <f t="shared" si="76"/>
        <v>0</v>
      </c>
      <c r="I144" s="905">
        <f t="shared" si="76"/>
        <v>0</v>
      </c>
      <c r="J144" s="905">
        <f t="shared" si="76"/>
        <v>0</v>
      </c>
      <c r="K144" s="905">
        <f t="shared" si="76"/>
        <v>0</v>
      </c>
      <c r="L144" s="905">
        <f t="shared" si="76"/>
        <v>0</v>
      </c>
      <c r="M144" s="905">
        <f t="shared" si="76"/>
        <v>0</v>
      </c>
      <c r="N144" s="905">
        <f t="shared" si="76"/>
        <v>0</v>
      </c>
    </row>
    <row r="145" spans="1:14" s="889" customFormat="1" ht="15" hidden="1" customHeight="1">
      <c r="A145" s="2773"/>
      <c r="B145" s="2757"/>
      <c r="C145" s="1101" t="s">
        <v>2629</v>
      </c>
      <c r="D145" s="1102">
        <v>0.9</v>
      </c>
      <c r="E145" s="1103" t="s">
        <v>2627</v>
      </c>
      <c r="F145" s="904">
        <f t="shared" si="72"/>
        <v>0</v>
      </c>
      <c r="G145" s="905">
        <f t="shared" ref="G145:N145" si="77">IF(G88="積上げ",0,+G120)</f>
        <v>0</v>
      </c>
      <c r="H145" s="905">
        <f t="shared" si="77"/>
        <v>0</v>
      </c>
      <c r="I145" s="905">
        <f t="shared" si="77"/>
        <v>0</v>
      </c>
      <c r="J145" s="905">
        <f t="shared" si="77"/>
        <v>0</v>
      </c>
      <c r="K145" s="905">
        <f t="shared" si="77"/>
        <v>0</v>
      </c>
      <c r="L145" s="905">
        <f t="shared" si="77"/>
        <v>0</v>
      </c>
      <c r="M145" s="905">
        <f t="shared" si="77"/>
        <v>0</v>
      </c>
      <c r="N145" s="905">
        <f t="shared" si="77"/>
        <v>0</v>
      </c>
    </row>
    <row r="146" spans="1:14" s="889" customFormat="1" ht="15" hidden="1" customHeight="1">
      <c r="A146" s="2773"/>
      <c r="B146" s="2758" t="s">
        <v>2534</v>
      </c>
      <c r="C146" s="1101" t="s">
        <v>2630</v>
      </c>
      <c r="D146" s="1102">
        <v>1</v>
      </c>
      <c r="E146" s="1104">
        <v>0.01</v>
      </c>
      <c r="F146" s="904">
        <f t="shared" si="72"/>
        <v>0</v>
      </c>
      <c r="G146" s="905">
        <f t="shared" ref="G146:N146" si="78">IF(G88="積上げ",0,+G121)</f>
        <v>0</v>
      </c>
      <c r="H146" s="905">
        <f t="shared" si="78"/>
        <v>0</v>
      </c>
      <c r="I146" s="905">
        <f t="shared" si="78"/>
        <v>0</v>
      </c>
      <c r="J146" s="905">
        <f t="shared" si="78"/>
        <v>0</v>
      </c>
      <c r="K146" s="905">
        <f t="shared" si="78"/>
        <v>0</v>
      </c>
      <c r="L146" s="905">
        <f t="shared" si="78"/>
        <v>0</v>
      </c>
      <c r="M146" s="905">
        <f t="shared" si="78"/>
        <v>0</v>
      </c>
      <c r="N146" s="905">
        <f t="shared" si="78"/>
        <v>0</v>
      </c>
    </row>
    <row r="147" spans="1:14" s="889" customFormat="1" ht="15" hidden="1" customHeight="1">
      <c r="A147" s="2773"/>
      <c r="B147" s="2756"/>
      <c r="C147" s="1101" t="s">
        <v>2631</v>
      </c>
      <c r="D147" s="1102">
        <v>1</v>
      </c>
      <c r="E147" s="1104">
        <v>0.01</v>
      </c>
      <c r="F147" s="904">
        <f t="shared" si="72"/>
        <v>0</v>
      </c>
      <c r="G147" s="905">
        <f t="shared" ref="G147:N147" si="79">IF(G88="積上げ",0,G122)</f>
        <v>0</v>
      </c>
      <c r="H147" s="905">
        <f t="shared" si="79"/>
        <v>0</v>
      </c>
      <c r="I147" s="905">
        <f t="shared" si="79"/>
        <v>0</v>
      </c>
      <c r="J147" s="905">
        <f t="shared" si="79"/>
        <v>0</v>
      </c>
      <c r="K147" s="905">
        <f t="shared" si="79"/>
        <v>0</v>
      </c>
      <c r="L147" s="905">
        <f t="shared" si="79"/>
        <v>0</v>
      </c>
      <c r="M147" s="905">
        <f t="shared" si="79"/>
        <v>0</v>
      </c>
      <c r="N147" s="905">
        <f t="shared" si="79"/>
        <v>0</v>
      </c>
    </row>
    <row r="148" spans="1:14" s="889" customFormat="1" ht="15" hidden="1" customHeight="1">
      <c r="A148" s="2773"/>
      <c r="B148" s="2756"/>
      <c r="C148" s="1101" t="s">
        <v>2537</v>
      </c>
      <c r="D148" s="1102">
        <v>1</v>
      </c>
      <c r="E148" s="1104">
        <v>0.01</v>
      </c>
      <c r="F148" s="904">
        <f t="shared" si="72"/>
        <v>5623700</v>
      </c>
      <c r="G148" s="905">
        <f t="shared" ref="G148:N148" si="80">IF(G88="積上げ",0,G123)</f>
        <v>3622000</v>
      </c>
      <c r="H148" s="905">
        <f t="shared" si="80"/>
        <v>0</v>
      </c>
      <c r="I148" s="905">
        <f t="shared" si="80"/>
        <v>2001700</v>
      </c>
      <c r="J148" s="905">
        <f t="shared" si="80"/>
        <v>0</v>
      </c>
      <c r="K148" s="905">
        <f t="shared" si="80"/>
        <v>0</v>
      </c>
      <c r="L148" s="905">
        <f t="shared" si="80"/>
        <v>0</v>
      </c>
      <c r="M148" s="905">
        <f t="shared" si="80"/>
        <v>0</v>
      </c>
      <c r="N148" s="905">
        <f t="shared" si="80"/>
        <v>0</v>
      </c>
    </row>
    <row r="149" spans="1:14" s="889" customFormat="1" ht="14.25" hidden="1" customHeight="1">
      <c r="A149" s="2773"/>
      <c r="B149" s="2756"/>
      <c r="C149" s="1101" t="s">
        <v>2617</v>
      </c>
      <c r="D149" s="1102"/>
      <c r="E149" s="1104"/>
      <c r="F149" s="904"/>
      <c r="G149" s="905"/>
      <c r="H149" s="905"/>
      <c r="I149" s="905"/>
      <c r="J149" s="905"/>
      <c r="K149" s="905"/>
      <c r="L149" s="905"/>
      <c r="M149" s="905"/>
      <c r="N149" s="905"/>
    </row>
    <row r="150" spans="1:14" s="889" customFormat="1" ht="14.25" hidden="1" customHeight="1">
      <c r="A150" s="2773"/>
      <c r="B150" s="2756"/>
      <c r="C150" s="1101" t="s">
        <v>2539</v>
      </c>
      <c r="D150" s="1102"/>
      <c r="E150" s="1104"/>
      <c r="F150" s="904"/>
      <c r="G150" s="905"/>
      <c r="H150" s="905"/>
      <c r="I150" s="905"/>
      <c r="J150" s="905"/>
      <c r="K150" s="905"/>
      <c r="L150" s="905"/>
      <c r="M150" s="905"/>
      <c r="N150" s="905"/>
    </row>
    <row r="151" spans="1:14" s="889" customFormat="1" ht="15" hidden="1" customHeight="1">
      <c r="A151" s="2773"/>
      <c r="B151" s="2756"/>
      <c r="C151" s="1101" t="s">
        <v>2540</v>
      </c>
      <c r="D151" s="1102">
        <v>1</v>
      </c>
      <c r="E151" s="1104">
        <v>0.01</v>
      </c>
      <c r="F151" s="904">
        <f>SUM(G151:N151)</f>
        <v>0</v>
      </c>
      <c r="G151" s="905">
        <f t="shared" ref="G151:N151" si="81">IF(G88="積上げ",0,+G126)</f>
        <v>0</v>
      </c>
      <c r="H151" s="905">
        <f t="shared" si="81"/>
        <v>0</v>
      </c>
      <c r="I151" s="905">
        <f t="shared" si="81"/>
        <v>0</v>
      </c>
      <c r="J151" s="905">
        <f t="shared" si="81"/>
        <v>0</v>
      </c>
      <c r="K151" s="905">
        <f t="shared" si="81"/>
        <v>0</v>
      </c>
      <c r="L151" s="905">
        <f t="shared" si="81"/>
        <v>0</v>
      </c>
      <c r="M151" s="905">
        <f t="shared" si="81"/>
        <v>0</v>
      </c>
      <c r="N151" s="905">
        <f t="shared" si="81"/>
        <v>0</v>
      </c>
    </row>
    <row r="152" spans="1:14" s="889" customFormat="1" ht="15" hidden="1" customHeight="1">
      <c r="A152" s="2773"/>
      <c r="B152" s="2756"/>
      <c r="C152" s="1105" t="s">
        <v>2541</v>
      </c>
      <c r="D152" s="1102">
        <v>1</v>
      </c>
      <c r="E152" s="1104">
        <v>0.01</v>
      </c>
      <c r="F152" s="904">
        <f>SUM(G152:N152)</f>
        <v>0</v>
      </c>
      <c r="G152" s="905">
        <f t="shared" ref="G152:N152" si="82">IF(G88="積上げ",0,+G127)</f>
        <v>0</v>
      </c>
      <c r="H152" s="905">
        <f t="shared" si="82"/>
        <v>0</v>
      </c>
      <c r="I152" s="905">
        <f t="shared" si="82"/>
        <v>0</v>
      </c>
      <c r="J152" s="905">
        <f t="shared" si="82"/>
        <v>0</v>
      </c>
      <c r="K152" s="905">
        <f t="shared" si="82"/>
        <v>0</v>
      </c>
      <c r="L152" s="905">
        <f t="shared" si="82"/>
        <v>0</v>
      </c>
      <c r="M152" s="905">
        <f t="shared" si="82"/>
        <v>0</v>
      </c>
      <c r="N152" s="905">
        <f t="shared" si="82"/>
        <v>0</v>
      </c>
    </row>
    <row r="153" spans="1:14" s="889" customFormat="1" ht="15" hidden="1" customHeight="1">
      <c r="A153" s="2773"/>
      <c r="B153" s="2756"/>
      <c r="C153" s="1105" t="s">
        <v>2619</v>
      </c>
      <c r="D153" s="1102">
        <v>1</v>
      </c>
      <c r="E153" s="1104">
        <v>0.01</v>
      </c>
      <c r="F153" s="904">
        <f>SUM(G153:N153)</f>
        <v>0</v>
      </c>
      <c r="G153" s="905">
        <f t="shared" ref="G153:N153" si="83">IF(G88="積上げ",0,+G128)</f>
        <v>0</v>
      </c>
      <c r="H153" s="905">
        <f t="shared" si="83"/>
        <v>0</v>
      </c>
      <c r="I153" s="905">
        <f t="shared" si="83"/>
        <v>0</v>
      </c>
      <c r="J153" s="905">
        <f t="shared" si="83"/>
        <v>0</v>
      </c>
      <c r="K153" s="905">
        <f t="shared" si="83"/>
        <v>0</v>
      </c>
      <c r="L153" s="905">
        <f t="shared" si="83"/>
        <v>0</v>
      </c>
      <c r="M153" s="905">
        <f t="shared" si="83"/>
        <v>0</v>
      </c>
      <c r="N153" s="905">
        <f t="shared" si="83"/>
        <v>0</v>
      </c>
    </row>
    <row r="154" spans="1:14" s="889" customFormat="1" ht="15" hidden="1" customHeight="1">
      <c r="A154" s="2773"/>
      <c r="B154" s="2757"/>
      <c r="C154" s="1101" t="s">
        <v>2543</v>
      </c>
      <c r="D154" s="1102">
        <v>1</v>
      </c>
      <c r="E154" s="1104">
        <v>0.01</v>
      </c>
      <c r="F154" s="904">
        <f>SUM(G154:N154)</f>
        <v>0</v>
      </c>
      <c r="G154" s="905">
        <f t="shared" ref="G154:N154" si="84">IF(G88="積上げ",0,+G129)</f>
        <v>0</v>
      </c>
      <c r="H154" s="905">
        <f t="shared" si="84"/>
        <v>0</v>
      </c>
      <c r="I154" s="905">
        <f t="shared" si="84"/>
        <v>0</v>
      </c>
      <c r="J154" s="905">
        <f t="shared" si="84"/>
        <v>0</v>
      </c>
      <c r="K154" s="905">
        <f t="shared" si="84"/>
        <v>0</v>
      </c>
      <c r="L154" s="905">
        <f t="shared" si="84"/>
        <v>0</v>
      </c>
      <c r="M154" s="905">
        <f t="shared" si="84"/>
        <v>0</v>
      </c>
      <c r="N154" s="905">
        <f t="shared" si="84"/>
        <v>0</v>
      </c>
    </row>
    <row r="155" spans="1:14" s="889" customFormat="1" ht="15" hidden="1" customHeight="1">
      <c r="A155" s="2774"/>
      <c r="B155" s="1106" t="s">
        <v>2632</v>
      </c>
      <c r="C155" s="1107" t="s">
        <v>2633</v>
      </c>
      <c r="D155" s="1108">
        <v>1</v>
      </c>
      <c r="E155" s="1109">
        <v>0</v>
      </c>
      <c r="F155" s="939">
        <f>SUM(G155:N155)</f>
        <v>602934</v>
      </c>
      <c r="G155" s="1064">
        <f t="shared" ref="G155:N155" si="85">IF(G88="積上げ",0,SUM(G133:G136)+G130)</f>
        <v>96063</v>
      </c>
      <c r="H155" s="1064">
        <f t="shared" si="85"/>
        <v>13658</v>
      </c>
      <c r="I155" s="1064">
        <f t="shared" si="85"/>
        <v>493213</v>
      </c>
      <c r="J155" s="1064">
        <f t="shared" si="85"/>
        <v>0</v>
      </c>
      <c r="K155" s="1064">
        <f t="shared" si="85"/>
        <v>0</v>
      </c>
      <c r="L155" s="1064">
        <f t="shared" si="85"/>
        <v>0</v>
      </c>
      <c r="M155" s="1064">
        <f t="shared" si="85"/>
        <v>0</v>
      </c>
      <c r="N155" s="1064">
        <f t="shared" si="85"/>
        <v>0</v>
      </c>
    </row>
    <row r="156" spans="1:14" s="889" customFormat="1" ht="15" hidden="1" customHeight="1">
      <c r="A156" s="1110"/>
      <c r="B156" s="1111"/>
      <c r="C156" s="1112"/>
      <c r="D156" s="2775"/>
      <c r="E156" s="2775"/>
      <c r="F156" s="1099"/>
      <c r="G156" s="1100"/>
      <c r="H156" s="1100"/>
      <c r="I156" s="1100"/>
      <c r="J156" s="1100"/>
      <c r="K156" s="1100"/>
      <c r="L156" s="1100"/>
      <c r="M156" s="1100"/>
      <c r="N156" s="1113"/>
    </row>
    <row r="157" spans="1:14" s="889" customFormat="1" ht="15" hidden="1" customHeight="1">
      <c r="A157" s="2769" t="s">
        <v>2634</v>
      </c>
      <c r="B157" s="2770"/>
      <c r="C157" s="2771"/>
      <c r="D157" s="2776"/>
      <c r="E157" s="2776"/>
      <c r="F157" s="1092"/>
      <c r="G157" s="1093"/>
      <c r="H157" s="1093"/>
      <c r="I157" s="1093"/>
      <c r="J157" s="1093"/>
      <c r="K157" s="1093"/>
      <c r="L157" s="1093"/>
      <c r="M157" s="1093"/>
      <c r="N157" s="1094"/>
    </row>
    <row r="158" spans="1:14" s="889" customFormat="1" ht="15" hidden="1" customHeight="1">
      <c r="A158" s="2772"/>
      <c r="B158" s="2755" t="s">
        <v>2529</v>
      </c>
      <c r="C158" s="1114" t="s">
        <v>2530</v>
      </c>
      <c r="D158" s="1115"/>
      <c r="E158" s="1116" t="s">
        <v>2627</v>
      </c>
      <c r="F158" s="1117" t="s">
        <v>2635</v>
      </c>
      <c r="G158" s="1118">
        <f t="shared" ref="G158:N158" si="86">IF(G142=0,0,IF(G90="有り",+G264/100,G265/100))</f>
        <v>0</v>
      </c>
      <c r="H158" s="1118">
        <f t="shared" si="86"/>
        <v>0</v>
      </c>
      <c r="I158" s="1118">
        <f t="shared" si="86"/>
        <v>0</v>
      </c>
      <c r="J158" s="1118">
        <f t="shared" si="86"/>
        <v>0</v>
      </c>
      <c r="K158" s="1118">
        <f t="shared" si="86"/>
        <v>0</v>
      </c>
      <c r="L158" s="1118">
        <f t="shared" si="86"/>
        <v>0</v>
      </c>
      <c r="M158" s="1118">
        <f t="shared" si="86"/>
        <v>0</v>
      </c>
      <c r="N158" s="1119">
        <f t="shared" si="86"/>
        <v>0</v>
      </c>
    </row>
    <row r="159" spans="1:14" s="889" customFormat="1" ht="15" hidden="1" customHeight="1">
      <c r="A159" s="2773"/>
      <c r="B159" s="2756"/>
      <c r="C159" s="1120"/>
      <c r="D159" s="1121">
        <f>+D142</f>
        <v>1</v>
      </c>
      <c r="E159" s="1122" t="s">
        <v>2627</v>
      </c>
      <c r="F159" s="1055">
        <f>SUM(G159:N159)</f>
        <v>0</v>
      </c>
      <c r="G159" s="1071">
        <f>ROUNDDOWN(G142*G158*$D159,0)</f>
        <v>0</v>
      </c>
      <c r="H159" s="1071">
        <f t="shared" ref="H159:N159" si="87">ROUNDDOWN(H142*H158*$D159,0)</f>
        <v>0</v>
      </c>
      <c r="I159" s="1071">
        <f t="shared" si="87"/>
        <v>0</v>
      </c>
      <c r="J159" s="1071">
        <f t="shared" si="87"/>
        <v>0</v>
      </c>
      <c r="K159" s="1071">
        <f>ROUNDDOWN(K142*K158*$D159,0)</f>
        <v>0</v>
      </c>
      <c r="L159" s="1071">
        <f t="shared" si="87"/>
        <v>0</v>
      </c>
      <c r="M159" s="1071">
        <f t="shared" si="87"/>
        <v>0</v>
      </c>
      <c r="N159" s="1072">
        <f t="shared" si="87"/>
        <v>0</v>
      </c>
    </row>
    <row r="160" spans="1:14" s="889" customFormat="1" ht="15" hidden="1" customHeight="1">
      <c r="A160" s="2773"/>
      <c r="B160" s="2756"/>
      <c r="C160" s="1123" t="s">
        <v>2531</v>
      </c>
      <c r="D160" s="1124"/>
      <c r="E160" s="1122" t="s">
        <v>2627</v>
      </c>
      <c r="F160" s="1125" t="s">
        <v>2635</v>
      </c>
      <c r="G160" s="1126">
        <f t="shared" ref="G160:N160" si="88">IF(G143=0,0,IF(G90="有り",G273/100,+G274/100))</f>
        <v>3.2000000000000001E-2</v>
      </c>
      <c r="H160" s="1126">
        <f t="shared" si="88"/>
        <v>2.7900000000000001E-2</v>
      </c>
      <c r="I160" s="1126">
        <f t="shared" si="88"/>
        <v>3.2000000000000001E-2</v>
      </c>
      <c r="J160" s="1126">
        <f t="shared" si="88"/>
        <v>0</v>
      </c>
      <c r="K160" s="1126">
        <f t="shared" si="88"/>
        <v>0</v>
      </c>
      <c r="L160" s="1126">
        <f t="shared" si="88"/>
        <v>0</v>
      </c>
      <c r="M160" s="1126">
        <f t="shared" si="88"/>
        <v>0</v>
      </c>
      <c r="N160" s="1127">
        <f t="shared" si="88"/>
        <v>0</v>
      </c>
    </row>
    <row r="161" spans="1:14" s="889" customFormat="1" ht="15" hidden="1" customHeight="1">
      <c r="A161" s="2773"/>
      <c r="B161" s="2756"/>
      <c r="C161" s="1120"/>
      <c r="D161" s="1128">
        <f t="shared" ref="D161:D166" si="89">+D143</f>
        <v>1</v>
      </c>
      <c r="E161" s="1122" t="s">
        <v>2627</v>
      </c>
      <c r="F161" s="1055">
        <f>SUM(G161:N161)</f>
        <v>6018964</v>
      </c>
      <c r="G161" s="1071">
        <f>ROUNDDOWN(G143*G160*$D161,0)</f>
        <v>1153446</v>
      </c>
      <c r="H161" s="1071">
        <f t="shared" ref="H161:N161" si="90">ROUNDDOWN(H143*H160*$D161,0)</f>
        <v>764819</v>
      </c>
      <c r="I161" s="1071">
        <f t="shared" si="90"/>
        <v>4100699</v>
      </c>
      <c r="J161" s="1071">
        <f t="shared" si="90"/>
        <v>0</v>
      </c>
      <c r="K161" s="1071">
        <f>ROUNDDOWN(K143*K160*$D161,0)</f>
        <v>0</v>
      </c>
      <c r="L161" s="1071">
        <f t="shared" si="90"/>
        <v>0</v>
      </c>
      <c r="M161" s="1071">
        <f t="shared" si="90"/>
        <v>0</v>
      </c>
      <c r="N161" s="1072">
        <f t="shared" si="90"/>
        <v>0</v>
      </c>
    </row>
    <row r="162" spans="1:14" s="889" customFormat="1" ht="15" hidden="1" customHeight="1">
      <c r="A162" s="2773"/>
      <c r="B162" s="2756"/>
      <c r="C162" s="1101" t="s">
        <v>2553</v>
      </c>
      <c r="D162" s="1129">
        <v>0.9</v>
      </c>
      <c r="E162" s="1122" t="s">
        <v>2627</v>
      </c>
      <c r="F162" s="1055">
        <f>SUM(G162:N162)</f>
        <v>0</v>
      </c>
      <c r="G162" s="1071">
        <f>ROUNDDOWN(G144*G158*$D162,0)</f>
        <v>0</v>
      </c>
      <c r="H162" s="1071">
        <f t="shared" ref="H162:N162" si="91">ROUNDDOWN(H144*H158*$D162,0)</f>
        <v>0</v>
      </c>
      <c r="I162" s="1071">
        <f t="shared" si="91"/>
        <v>0</v>
      </c>
      <c r="J162" s="1071">
        <f t="shared" si="91"/>
        <v>0</v>
      </c>
      <c r="K162" s="1071">
        <f>ROUNDDOWN(K144*K158*$D162,0)</f>
        <v>0</v>
      </c>
      <c r="L162" s="1071">
        <f t="shared" si="91"/>
        <v>0</v>
      </c>
      <c r="M162" s="1071">
        <f t="shared" si="91"/>
        <v>0</v>
      </c>
      <c r="N162" s="1072">
        <f t="shared" si="91"/>
        <v>0</v>
      </c>
    </row>
    <row r="163" spans="1:14" s="889" customFormat="1" ht="15" hidden="1" customHeight="1">
      <c r="A163" s="2773"/>
      <c r="B163" s="2757"/>
      <c r="C163" s="1101" t="s">
        <v>2554</v>
      </c>
      <c r="D163" s="1129">
        <v>0.9</v>
      </c>
      <c r="E163" s="1122" t="s">
        <v>2627</v>
      </c>
      <c r="F163" s="1055">
        <f>SUM(G163:N163)</f>
        <v>0</v>
      </c>
      <c r="G163" s="1071">
        <f>ROUNDDOWN(G145*G160*$D163,0)</f>
        <v>0</v>
      </c>
      <c r="H163" s="1071">
        <f t="shared" ref="H163:N163" si="92">ROUNDDOWN(H145*H160*$D163,0)</f>
        <v>0</v>
      </c>
      <c r="I163" s="1071">
        <f t="shared" si="92"/>
        <v>0</v>
      </c>
      <c r="J163" s="1071">
        <f t="shared" si="92"/>
        <v>0</v>
      </c>
      <c r="K163" s="1071">
        <f>ROUNDDOWN(K145*K160*$D163,0)</f>
        <v>0</v>
      </c>
      <c r="L163" s="1071">
        <f t="shared" si="92"/>
        <v>0</v>
      </c>
      <c r="M163" s="1071">
        <f t="shared" si="92"/>
        <v>0</v>
      </c>
      <c r="N163" s="1072">
        <f t="shared" si="92"/>
        <v>0</v>
      </c>
    </row>
    <row r="164" spans="1:14" s="889" customFormat="1" ht="15" hidden="1" customHeight="1">
      <c r="A164" s="2773"/>
      <c r="B164" s="2758" t="s">
        <v>2534</v>
      </c>
      <c r="C164" s="1101" t="s">
        <v>2630</v>
      </c>
      <c r="D164" s="1129">
        <f>+D146</f>
        <v>1</v>
      </c>
      <c r="E164" s="1104">
        <f>+E146</f>
        <v>0.01</v>
      </c>
      <c r="F164" s="904">
        <v>0</v>
      </c>
      <c r="G164" s="1071">
        <f t="shared" ref="G164:N173" si="93">ROUNDDOWN(G146*$E164*$D164,0)</f>
        <v>0</v>
      </c>
      <c r="H164" s="1071">
        <f t="shared" si="93"/>
        <v>0</v>
      </c>
      <c r="I164" s="1071">
        <f t="shared" si="93"/>
        <v>0</v>
      </c>
      <c r="J164" s="1071">
        <f t="shared" si="93"/>
        <v>0</v>
      </c>
      <c r="K164" s="1071">
        <f t="shared" si="93"/>
        <v>0</v>
      </c>
      <c r="L164" s="1071">
        <f t="shared" si="93"/>
        <v>0</v>
      </c>
      <c r="M164" s="1071">
        <f t="shared" si="93"/>
        <v>0</v>
      </c>
      <c r="N164" s="1071">
        <f t="shared" si="93"/>
        <v>0</v>
      </c>
    </row>
    <row r="165" spans="1:14" s="889" customFormat="1" ht="15" hidden="1" customHeight="1">
      <c r="A165" s="2773"/>
      <c r="B165" s="2756"/>
      <c r="C165" s="1101" t="s">
        <v>2636</v>
      </c>
      <c r="D165" s="1129">
        <f t="shared" si="89"/>
        <v>1</v>
      </c>
      <c r="E165" s="1104">
        <f>+E147</f>
        <v>0.01</v>
      </c>
      <c r="F165" s="904">
        <v>0</v>
      </c>
      <c r="G165" s="1071">
        <f t="shared" si="93"/>
        <v>0</v>
      </c>
      <c r="H165" s="1071">
        <f t="shared" si="93"/>
        <v>0</v>
      </c>
      <c r="I165" s="1071">
        <f t="shared" si="93"/>
        <v>0</v>
      </c>
      <c r="J165" s="1071">
        <f t="shared" si="93"/>
        <v>0</v>
      </c>
      <c r="K165" s="1071">
        <f t="shared" si="93"/>
        <v>0</v>
      </c>
      <c r="L165" s="1071">
        <f t="shared" si="93"/>
        <v>0</v>
      </c>
      <c r="M165" s="1071">
        <f t="shared" si="93"/>
        <v>0</v>
      </c>
      <c r="N165" s="1071">
        <f t="shared" si="93"/>
        <v>0</v>
      </c>
    </row>
    <row r="166" spans="1:14" s="889" customFormat="1" ht="15" hidden="1" customHeight="1">
      <c r="A166" s="2773"/>
      <c r="B166" s="2756"/>
      <c r="C166" s="1101" t="s">
        <v>2537</v>
      </c>
      <c r="D166" s="1129">
        <f t="shared" si="89"/>
        <v>1</v>
      </c>
      <c r="E166" s="1104">
        <f>+E148</f>
        <v>0.01</v>
      </c>
      <c r="F166" s="904">
        <v>0</v>
      </c>
      <c r="G166" s="1071">
        <f t="shared" si="93"/>
        <v>36220</v>
      </c>
      <c r="H166" s="1071">
        <f t="shared" si="93"/>
        <v>0</v>
      </c>
      <c r="I166" s="1071">
        <f t="shared" si="93"/>
        <v>20017</v>
      </c>
      <c r="J166" s="1071">
        <f t="shared" si="93"/>
        <v>0</v>
      </c>
      <c r="K166" s="1071">
        <f t="shared" si="93"/>
        <v>0</v>
      </c>
      <c r="L166" s="1071">
        <f t="shared" si="93"/>
        <v>0</v>
      </c>
      <c r="M166" s="1071">
        <f t="shared" si="93"/>
        <v>0</v>
      </c>
      <c r="N166" s="1071">
        <f t="shared" si="93"/>
        <v>0</v>
      </c>
    </row>
    <row r="167" spans="1:14" s="889" customFormat="1" ht="15" hidden="1" customHeight="1">
      <c r="A167" s="2773"/>
      <c r="B167" s="2756"/>
      <c r="C167" s="1101" t="s">
        <v>2637</v>
      </c>
      <c r="D167" s="1129"/>
      <c r="E167" s="1104"/>
      <c r="F167" s="904"/>
      <c r="G167" s="1071"/>
      <c r="H167" s="1071"/>
      <c r="I167" s="1071"/>
      <c r="J167" s="1071"/>
      <c r="K167" s="1071"/>
      <c r="L167" s="1071"/>
      <c r="M167" s="1071"/>
      <c r="N167" s="1071"/>
    </row>
    <row r="168" spans="1:14" s="889" customFormat="1" ht="15" hidden="1" customHeight="1">
      <c r="A168" s="2773"/>
      <c r="B168" s="2756"/>
      <c r="C168" s="1130" t="s">
        <v>2539</v>
      </c>
      <c r="D168" s="1129"/>
      <c r="E168" s="1104"/>
      <c r="F168" s="904"/>
      <c r="G168" s="1071"/>
      <c r="H168" s="1071"/>
      <c r="I168" s="1071"/>
      <c r="J168" s="1071"/>
      <c r="K168" s="1071"/>
      <c r="L168" s="1071"/>
      <c r="M168" s="1071"/>
      <c r="N168" s="1071"/>
    </row>
    <row r="169" spans="1:14" s="889" customFormat="1" ht="15" hidden="1" customHeight="1">
      <c r="A169" s="2773"/>
      <c r="B169" s="2756"/>
      <c r="C169" s="1101" t="s">
        <v>2540</v>
      </c>
      <c r="D169" s="1129">
        <f t="shared" ref="D169:E173" si="94">+D151</f>
        <v>1</v>
      </c>
      <c r="E169" s="1104">
        <f t="shared" si="94"/>
        <v>0.01</v>
      </c>
      <c r="F169" s="904">
        <v>0</v>
      </c>
      <c r="G169" s="1071">
        <f t="shared" si="93"/>
        <v>0</v>
      </c>
      <c r="H169" s="1071">
        <f t="shared" si="93"/>
        <v>0</v>
      </c>
      <c r="I169" s="1071">
        <f t="shared" si="93"/>
        <v>0</v>
      </c>
      <c r="J169" s="1071">
        <f t="shared" si="93"/>
        <v>0</v>
      </c>
      <c r="K169" s="1071">
        <f t="shared" si="93"/>
        <v>0</v>
      </c>
      <c r="L169" s="1071">
        <f t="shared" si="93"/>
        <v>0</v>
      </c>
      <c r="M169" s="1071">
        <f t="shared" si="93"/>
        <v>0</v>
      </c>
      <c r="N169" s="1071">
        <f t="shared" si="93"/>
        <v>0</v>
      </c>
    </row>
    <row r="170" spans="1:14" s="889" customFormat="1" ht="15" hidden="1" customHeight="1">
      <c r="A170" s="2773"/>
      <c r="B170" s="2756"/>
      <c r="C170" s="1105" t="s">
        <v>2638</v>
      </c>
      <c r="D170" s="1129">
        <f t="shared" si="94"/>
        <v>1</v>
      </c>
      <c r="E170" s="1104">
        <f t="shared" si="94"/>
        <v>0.01</v>
      </c>
      <c r="F170" s="904">
        <v>0</v>
      </c>
      <c r="G170" s="1071">
        <f t="shared" si="93"/>
        <v>0</v>
      </c>
      <c r="H170" s="1071">
        <f t="shared" si="93"/>
        <v>0</v>
      </c>
      <c r="I170" s="1071">
        <f t="shared" si="93"/>
        <v>0</v>
      </c>
      <c r="J170" s="1071">
        <f t="shared" si="93"/>
        <v>0</v>
      </c>
      <c r="K170" s="1071">
        <f t="shared" si="93"/>
        <v>0</v>
      </c>
      <c r="L170" s="1071">
        <f t="shared" si="93"/>
        <v>0</v>
      </c>
      <c r="M170" s="1071">
        <f t="shared" si="93"/>
        <v>0</v>
      </c>
      <c r="N170" s="1071">
        <f t="shared" si="93"/>
        <v>0</v>
      </c>
    </row>
    <row r="171" spans="1:14" s="889" customFormat="1" ht="15" hidden="1" customHeight="1">
      <c r="A171" s="2773"/>
      <c r="B171" s="2756"/>
      <c r="C171" s="1105" t="s">
        <v>2639</v>
      </c>
      <c r="D171" s="1129">
        <f t="shared" si="94"/>
        <v>1</v>
      </c>
      <c r="E171" s="1104">
        <f t="shared" si="94"/>
        <v>0.01</v>
      </c>
      <c r="F171" s="904">
        <v>0</v>
      </c>
      <c r="G171" s="1071">
        <f t="shared" si="93"/>
        <v>0</v>
      </c>
      <c r="H171" s="1071">
        <f t="shared" si="93"/>
        <v>0</v>
      </c>
      <c r="I171" s="1071">
        <f t="shared" si="93"/>
        <v>0</v>
      </c>
      <c r="J171" s="1071">
        <f t="shared" si="93"/>
        <v>0</v>
      </c>
      <c r="K171" s="1071">
        <f t="shared" si="93"/>
        <v>0</v>
      </c>
      <c r="L171" s="1071">
        <f t="shared" si="93"/>
        <v>0</v>
      </c>
      <c r="M171" s="1071">
        <f t="shared" si="93"/>
        <v>0</v>
      </c>
      <c r="N171" s="1071">
        <f t="shared" si="93"/>
        <v>0</v>
      </c>
    </row>
    <row r="172" spans="1:14" s="889" customFormat="1" ht="15" hidden="1" customHeight="1">
      <c r="A172" s="2773"/>
      <c r="B172" s="2757"/>
      <c r="C172" s="1101" t="s">
        <v>2543</v>
      </c>
      <c r="D172" s="1129">
        <f t="shared" si="94"/>
        <v>1</v>
      </c>
      <c r="E172" s="1104">
        <f t="shared" si="94"/>
        <v>0.01</v>
      </c>
      <c r="F172" s="904">
        <v>0</v>
      </c>
      <c r="G172" s="1071">
        <f t="shared" si="93"/>
        <v>0</v>
      </c>
      <c r="H172" s="1071">
        <f t="shared" si="93"/>
        <v>0</v>
      </c>
      <c r="I172" s="1071">
        <f t="shared" si="93"/>
        <v>0</v>
      </c>
      <c r="J172" s="1071">
        <f t="shared" si="93"/>
        <v>0</v>
      </c>
      <c r="K172" s="1071">
        <f t="shared" si="93"/>
        <v>0</v>
      </c>
      <c r="L172" s="1071">
        <f t="shared" si="93"/>
        <v>0</v>
      </c>
      <c r="M172" s="1071">
        <f t="shared" si="93"/>
        <v>0</v>
      </c>
      <c r="N172" s="1071">
        <f t="shared" si="93"/>
        <v>0</v>
      </c>
    </row>
    <row r="173" spans="1:14" s="889" customFormat="1" ht="15" hidden="1" customHeight="1" thickBot="1">
      <c r="A173" s="2777"/>
      <c r="B173" s="1131" t="s">
        <v>2632</v>
      </c>
      <c r="C173" s="1132" t="s">
        <v>2640</v>
      </c>
      <c r="D173" s="1133">
        <f t="shared" si="94"/>
        <v>1</v>
      </c>
      <c r="E173" s="1134">
        <f t="shared" si="94"/>
        <v>0</v>
      </c>
      <c r="F173" s="1135">
        <f>ROUNDDOWN(D173*E173*F155,0)</f>
        <v>0</v>
      </c>
      <c r="G173" s="1071">
        <f>ROUNDDOWN(G155*$E173*$D173,0)</f>
        <v>0</v>
      </c>
      <c r="H173" s="1071">
        <f>ROUNDDOWN(H155*$E173*$D173,0)</f>
        <v>0</v>
      </c>
      <c r="I173" s="1071">
        <f t="shared" si="93"/>
        <v>0</v>
      </c>
      <c r="J173" s="1071">
        <f t="shared" si="93"/>
        <v>0</v>
      </c>
      <c r="K173" s="1071">
        <f t="shared" si="93"/>
        <v>0</v>
      </c>
      <c r="L173" s="1071">
        <f t="shared" si="93"/>
        <v>0</v>
      </c>
      <c r="M173" s="1071">
        <f t="shared" si="93"/>
        <v>0</v>
      </c>
      <c r="N173" s="1071">
        <f t="shared" si="93"/>
        <v>0</v>
      </c>
    </row>
    <row r="174" spans="1:14" s="889" customFormat="1" ht="15" hidden="1" customHeight="1" thickTop="1">
      <c r="A174" s="1136"/>
      <c r="B174" s="1137"/>
      <c r="C174" s="1138" t="s">
        <v>2641</v>
      </c>
      <c r="D174" s="1139"/>
      <c r="E174" s="1140"/>
      <c r="F174" s="1141">
        <f>SUM(G174:N174)</f>
        <v>6075201</v>
      </c>
      <c r="G174" s="1142">
        <f>SUM(G161:G173)+G159</f>
        <v>1189666</v>
      </c>
      <c r="H174" s="1142">
        <f t="shared" ref="H174:N174" si="95">SUM(H161:H173)+H159</f>
        <v>764819</v>
      </c>
      <c r="I174" s="1142">
        <f t="shared" si="95"/>
        <v>4120716</v>
      </c>
      <c r="J174" s="1142">
        <f t="shared" si="95"/>
        <v>0</v>
      </c>
      <c r="K174" s="1142">
        <f>SUM(K161:K173)+K159</f>
        <v>0</v>
      </c>
      <c r="L174" s="1142">
        <f t="shared" si="95"/>
        <v>0</v>
      </c>
      <c r="M174" s="1142">
        <f t="shared" si="95"/>
        <v>0</v>
      </c>
      <c r="N174" s="1143">
        <f t="shared" si="95"/>
        <v>0</v>
      </c>
    </row>
    <row r="175" spans="1:14" s="889" customFormat="1" ht="15" customHeight="1">
      <c r="A175" s="1286"/>
      <c r="B175" s="1286"/>
      <c r="C175" s="917"/>
      <c r="D175" s="917"/>
      <c r="E175" s="1286"/>
      <c r="F175" s="1144"/>
      <c r="G175" s="908"/>
      <c r="H175" s="908"/>
      <c r="I175" s="908"/>
      <c r="J175" s="908"/>
      <c r="K175" s="908"/>
      <c r="L175" s="908"/>
      <c r="M175" s="908"/>
      <c r="N175" s="908"/>
    </row>
    <row r="176" spans="1:14" s="889" customFormat="1" ht="15" customHeight="1">
      <c r="A176" s="1286"/>
      <c r="B176" s="1286"/>
      <c r="C176" s="1090" t="s">
        <v>2642</v>
      </c>
      <c r="D176" s="1090"/>
      <c r="E176" s="916"/>
      <c r="F176" s="1033"/>
      <c r="G176" s="1037"/>
      <c r="H176" s="1037"/>
      <c r="I176" s="1037"/>
      <c r="J176" s="1037"/>
      <c r="K176" s="1037"/>
      <c r="L176" s="1037"/>
      <c r="M176" s="1037"/>
      <c r="N176" s="1091" t="s">
        <v>2643</v>
      </c>
    </row>
    <row r="177" spans="1:14" s="889" customFormat="1" ht="15" customHeight="1">
      <c r="A177" s="1286"/>
      <c r="B177" s="1286"/>
      <c r="C177" s="923" t="s">
        <v>2644</v>
      </c>
      <c r="D177" s="923"/>
      <c r="E177" s="916"/>
      <c r="F177" s="1033"/>
      <c r="G177" s="1037"/>
      <c r="H177" s="1037"/>
      <c r="I177" s="1037"/>
      <c r="J177" s="1037"/>
      <c r="K177" s="1037"/>
      <c r="L177" s="1037"/>
      <c r="M177" s="1037"/>
      <c r="N177" s="1091"/>
    </row>
    <row r="178" spans="1:14" s="889" customFormat="1" ht="15" customHeight="1">
      <c r="A178" s="870"/>
      <c r="B178" s="871"/>
      <c r="C178" s="871"/>
      <c r="D178" s="2767" t="s">
        <v>2623</v>
      </c>
      <c r="E178" s="2767" t="s">
        <v>2624</v>
      </c>
      <c r="F178" s="1083" t="s">
        <v>2505</v>
      </c>
      <c r="G178" s="1084" t="str">
        <f t="shared" ref="G178:N178" si="96">+G86</f>
        <v>工事6</v>
      </c>
      <c r="H178" s="1084" t="str">
        <f t="shared" si="96"/>
        <v>工事7</v>
      </c>
      <c r="I178" s="1084" t="str">
        <f t="shared" si="96"/>
        <v>工事8</v>
      </c>
      <c r="J178" s="1084">
        <f t="shared" si="96"/>
        <v>0</v>
      </c>
      <c r="K178" s="1084">
        <f t="shared" si="96"/>
        <v>0</v>
      </c>
      <c r="L178" s="1084">
        <f t="shared" si="96"/>
        <v>0</v>
      </c>
      <c r="M178" s="1084">
        <f t="shared" si="96"/>
        <v>0</v>
      </c>
      <c r="N178" s="1085">
        <f t="shared" si="96"/>
        <v>0</v>
      </c>
    </row>
    <row r="179" spans="1:14" s="889" customFormat="1" ht="15" customHeight="1">
      <c r="A179" s="2769" t="s">
        <v>2645</v>
      </c>
      <c r="B179" s="2770"/>
      <c r="C179" s="2771"/>
      <c r="D179" s="2768"/>
      <c r="E179" s="2768"/>
      <c r="F179" s="1092"/>
      <c r="G179" s="1093"/>
      <c r="H179" s="1093"/>
      <c r="I179" s="1093"/>
      <c r="J179" s="1093"/>
      <c r="K179" s="1093"/>
      <c r="L179" s="1093"/>
      <c r="M179" s="1093"/>
      <c r="N179" s="1094"/>
    </row>
    <row r="180" spans="1:14" s="889" customFormat="1" ht="15" customHeight="1">
      <c r="A180" s="2772"/>
      <c r="B180" s="1095" t="s">
        <v>2646</v>
      </c>
      <c r="C180" s="1096"/>
      <c r="D180" s="1097"/>
      <c r="E180" s="1098"/>
      <c r="F180" s="1099">
        <f t="shared" ref="F180:F187" si="97">SUM(G180:N180)</f>
        <v>212174150</v>
      </c>
      <c r="G180" s="1100">
        <f>+G91-G135-G134-G130-G131</f>
        <v>44699898</v>
      </c>
      <c r="H180" s="1100">
        <f t="shared" ref="H180:N180" si="98">+H91-H135-H134-H130-H131</f>
        <v>28900276</v>
      </c>
      <c r="I180" s="1100">
        <f t="shared" si="98"/>
        <v>138573976</v>
      </c>
      <c r="J180" s="1100">
        <f t="shared" si="98"/>
        <v>0</v>
      </c>
      <c r="K180" s="1100">
        <f>+K91-K135-K134-K130-K131</f>
        <v>0</v>
      </c>
      <c r="L180" s="1100">
        <f t="shared" si="98"/>
        <v>0</v>
      </c>
      <c r="M180" s="1100">
        <f t="shared" si="98"/>
        <v>0</v>
      </c>
      <c r="N180" s="1113">
        <f t="shared" si="98"/>
        <v>0</v>
      </c>
    </row>
    <row r="181" spans="1:14" s="889" customFormat="1" ht="15" customHeight="1">
      <c r="A181" s="2773"/>
      <c r="B181" s="2758" t="s">
        <v>2529</v>
      </c>
      <c r="C181" s="1101" t="s">
        <v>2530</v>
      </c>
      <c r="D181" s="1102">
        <v>1</v>
      </c>
      <c r="E181" s="1103" t="s">
        <v>2627</v>
      </c>
      <c r="F181" s="904">
        <f t="shared" si="97"/>
        <v>0</v>
      </c>
      <c r="G181" s="905">
        <f>IF(G117&gt;=G118,+G117+G159+G98-G99-G100-G135,G117+G159)</f>
        <v>0</v>
      </c>
      <c r="H181" s="905">
        <f t="shared" ref="H181:N181" si="99">IF(H117&gt;=H118,+H117+H159+H98-H99-H100-H135,H117+H159)</f>
        <v>0</v>
      </c>
      <c r="I181" s="905">
        <f t="shared" si="99"/>
        <v>0</v>
      </c>
      <c r="J181" s="905">
        <f t="shared" si="99"/>
        <v>0</v>
      </c>
      <c r="K181" s="905">
        <f t="shared" si="99"/>
        <v>0</v>
      </c>
      <c r="L181" s="905">
        <f t="shared" si="99"/>
        <v>0</v>
      </c>
      <c r="M181" s="905">
        <f t="shared" si="99"/>
        <v>0</v>
      </c>
      <c r="N181" s="906">
        <f t="shared" si="99"/>
        <v>0</v>
      </c>
    </row>
    <row r="182" spans="1:14" s="889" customFormat="1" ht="15" customHeight="1">
      <c r="A182" s="2773"/>
      <c r="B182" s="2756"/>
      <c r="C182" s="1101" t="s">
        <v>2531</v>
      </c>
      <c r="D182" s="1102">
        <v>1</v>
      </c>
      <c r="E182" s="1103" t="s">
        <v>2627</v>
      </c>
      <c r="F182" s="904">
        <f t="shared" si="97"/>
        <v>206494213</v>
      </c>
      <c r="G182" s="905">
        <f>IF(G117&gt;=G118,+G118+G161,G118+G161+G98-G99-G100-G135)</f>
        <v>41041678</v>
      </c>
      <c r="H182" s="905">
        <f t="shared" ref="H182:N182" si="100">IF(H117&gt;=H118,+H118+H161,H118+H161+H98-H99-H100-H135)</f>
        <v>28900276</v>
      </c>
      <c r="I182" s="905">
        <f t="shared" si="100"/>
        <v>136552259</v>
      </c>
      <c r="J182" s="905">
        <f t="shared" si="100"/>
        <v>0</v>
      </c>
      <c r="K182" s="905">
        <f t="shared" si="100"/>
        <v>0</v>
      </c>
      <c r="L182" s="905">
        <f t="shared" si="100"/>
        <v>0</v>
      </c>
      <c r="M182" s="905">
        <f t="shared" si="100"/>
        <v>0</v>
      </c>
      <c r="N182" s="906">
        <f t="shared" si="100"/>
        <v>0</v>
      </c>
    </row>
    <row r="183" spans="1:14" s="889" customFormat="1" ht="15" customHeight="1">
      <c r="A183" s="2773"/>
      <c r="B183" s="2756"/>
      <c r="C183" s="1101" t="s">
        <v>2628</v>
      </c>
      <c r="D183" s="1102">
        <v>1</v>
      </c>
      <c r="E183" s="1103" t="s">
        <v>2627</v>
      </c>
      <c r="F183" s="904">
        <f t="shared" si="97"/>
        <v>0</v>
      </c>
      <c r="G183" s="905">
        <f>+G119+G162</f>
        <v>0</v>
      </c>
      <c r="H183" s="905">
        <f t="shared" ref="H183:N187" si="101">+H119+H162</f>
        <v>0</v>
      </c>
      <c r="I183" s="905">
        <f t="shared" si="101"/>
        <v>0</v>
      </c>
      <c r="J183" s="905">
        <f t="shared" si="101"/>
        <v>0</v>
      </c>
      <c r="K183" s="905">
        <f t="shared" si="101"/>
        <v>0</v>
      </c>
      <c r="L183" s="905">
        <f t="shared" si="101"/>
        <v>0</v>
      </c>
      <c r="M183" s="905">
        <f t="shared" si="101"/>
        <v>0</v>
      </c>
      <c r="N183" s="906">
        <f t="shared" si="101"/>
        <v>0</v>
      </c>
    </row>
    <row r="184" spans="1:14" s="889" customFormat="1" ht="15" customHeight="1">
      <c r="A184" s="2773"/>
      <c r="B184" s="2757"/>
      <c r="C184" s="1101" t="s">
        <v>2629</v>
      </c>
      <c r="D184" s="1102">
        <v>1</v>
      </c>
      <c r="E184" s="1103" t="s">
        <v>2627</v>
      </c>
      <c r="F184" s="904">
        <f t="shared" si="97"/>
        <v>0</v>
      </c>
      <c r="G184" s="905">
        <f>+G120+G163</f>
        <v>0</v>
      </c>
      <c r="H184" s="905">
        <f t="shared" si="101"/>
        <v>0</v>
      </c>
      <c r="I184" s="905">
        <f t="shared" si="101"/>
        <v>0</v>
      </c>
      <c r="J184" s="905">
        <f t="shared" si="101"/>
        <v>0</v>
      </c>
      <c r="K184" s="905">
        <f t="shared" si="101"/>
        <v>0</v>
      </c>
      <c r="L184" s="905">
        <f t="shared" si="101"/>
        <v>0</v>
      </c>
      <c r="M184" s="905">
        <f t="shared" si="101"/>
        <v>0</v>
      </c>
      <c r="N184" s="906">
        <f t="shared" si="101"/>
        <v>0</v>
      </c>
    </row>
    <row r="185" spans="1:14" s="889" customFormat="1" ht="15" customHeight="1">
      <c r="A185" s="2773"/>
      <c r="B185" s="2758" t="s">
        <v>2534</v>
      </c>
      <c r="C185" s="1101" t="s">
        <v>2630</v>
      </c>
      <c r="D185" s="1102">
        <v>1</v>
      </c>
      <c r="E185" s="1104">
        <v>0.02</v>
      </c>
      <c r="F185" s="904">
        <f t="shared" si="97"/>
        <v>0</v>
      </c>
      <c r="G185" s="905">
        <f>+G121+G164</f>
        <v>0</v>
      </c>
      <c r="H185" s="905">
        <f t="shared" si="101"/>
        <v>0</v>
      </c>
      <c r="I185" s="905">
        <f t="shared" si="101"/>
        <v>0</v>
      </c>
      <c r="J185" s="905">
        <f t="shared" si="101"/>
        <v>0</v>
      </c>
      <c r="K185" s="905">
        <f t="shared" si="101"/>
        <v>0</v>
      </c>
      <c r="L185" s="905">
        <f t="shared" si="101"/>
        <v>0</v>
      </c>
      <c r="M185" s="905">
        <f t="shared" si="101"/>
        <v>0</v>
      </c>
      <c r="N185" s="906">
        <f t="shared" si="101"/>
        <v>0</v>
      </c>
    </row>
    <row r="186" spans="1:14" s="889" customFormat="1" ht="15" customHeight="1">
      <c r="A186" s="2773"/>
      <c r="B186" s="2756"/>
      <c r="C186" s="1101" t="s">
        <v>2631</v>
      </c>
      <c r="D186" s="1102">
        <v>1</v>
      </c>
      <c r="E186" s="1104">
        <v>0.02</v>
      </c>
      <c r="F186" s="904">
        <f t="shared" si="97"/>
        <v>0</v>
      </c>
      <c r="G186" s="905">
        <f>+G122+G165</f>
        <v>0</v>
      </c>
      <c r="H186" s="905">
        <f t="shared" si="101"/>
        <v>0</v>
      </c>
      <c r="I186" s="905">
        <f t="shared" si="101"/>
        <v>0</v>
      </c>
      <c r="J186" s="905">
        <f t="shared" si="101"/>
        <v>0</v>
      </c>
      <c r="K186" s="905">
        <f t="shared" si="101"/>
        <v>0</v>
      </c>
      <c r="L186" s="905">
        <f t="shared" si="101"/>
        <v>0</v>
      </c>
      <c r="M186" s="905">
        <f t="shared" si="101"/>
        <v>0</v>
      </c>
      <c r="N186" s="906">
        <f t="shared" si="101"/>
        <v>0</v>
      </c>
    </row>
    <row r="187" spans="1:14" s="889" customFormat="1" ht="15" customHeight="1">
      <c r="A187" s="2773"/>
      <c r="B187" s="2756"/>
      <c r="C187" s="1101" t="s">
        <v>2537</v>
      </c>
      <c r="D187" s="1102">
        <v>1</v>
      </c>
      <c r="E187" s="1104">
        <v>0.02</v>
      </c>
      <c r="F187" s="904">
        <f t="shared" si="97"/>
        <v>5679937</v>
      </c>
      <c r="G187" s="905">
        <f>+G123+G166</f>
        <v>3658220</v>
      </c>
      <c r="H187" s="905">
        <f t="shared" si="101"/>
        <v>0</v>
      </c>
      <c r="I187" s="905">
        <f t="shared" si="101"/>
        <v>2021717</v>
      </c>
      <c r="J187" s="905">
        <f t="shared" si="101"/>
        <v>0</v>
      </c>
      <c r="K187" s="905">
        <f t="shared" si="101"/>
        <v>0</v>
      </c>
      <c r="L187" s="905">
        <f t="shared" si="101"/>
        <v>0</v>
      </c>
      <c r="M187" s="905">
        <f t="shared" si="101"/>
        <v>0</v>
      </c>
      <c r="N187" s="906">
        <f t="shared" si="101"/>
        <v>0</v>
      </c>
    </row>
    <row r="188" spans="1:14" s="889" customFormat="1" ht="15" customHeight="1">
      <c r="A188" s="2773"/>
      <c r="B188" s="2756"/>
      <c r="C188" s="1101" t="s">
        <v>2617</v>
      </c>
      <c r="D188" s="1102"/>
      <c r="E188" s="1104"/>
      <c r="F188" s="904"/>
      <c r="G188" s="905"/>
      <c r="H188" s="905"/>
      <c r="I188" s="905"/>
      <c r="J188" s="905"/>
      <c r="K188" s="905"/>
      <c r="L188" s="905"/>
      <c r="M188" s="905"/>
      <c r="N188" s="906"/>
    </row>
    <row r="189" spans="1:14" s="889" customFormat="1" ht="15" customHeight="1">
      <c r="A189" s="2773"/>
      <c r="B189" s="2756"/>
      <c r="C189" s="1101" t="s">
        <v>2539</v>
      </c>
      <c r="D189" s="1102"/>
      <c r="E189" s="1104"/>
      <c r="F189" s="904"/>
      <c r="G189" s="905"/>
      <c r="H189" s="905"/>
      <c r="I189" s="905"/>
      <c r="J189" s="905"/>
      <c r="K189" s="905"/>
      <c r="L189" s="905"/>
      <c r="M189" s="905"/>
      <c r="N189" s="906"/>
    </row>
    <row r="190" spans="1:14" s="889" customFormat="1" ht="15" customHeight="1">
      <c r="A190" s="2773"/>
      <c r="B190" s="2756"/>
      <c r="C190" s="1101" t="s">
        <v>2540</v>
      </c>
      <c r="D190" s="1102">
        <v>1</v>
      </c>
      <c r="E190" s="1104">
        <v>0.02</v>
      </c>
      <c r="F190" s="904">
        <f>SUM(G190:N190)</f>
        <v>0</v>
      </c>
      <c r="G190" s="905">
        <f t="shared" ref="G190:N193" si="102">+G126+G169</f>
        <v>0</v>
      </c>
      <c r="H190" s="905">
        <f t="shared" si="102"/>
        <v>0</v>
      </c>
      <c r="I190" s="905">
        <f t="shared" si="102"/>
        <v>0</v>
      </c>
      <c r="J190" s="905">
        <f t="shared" si="102"/>
        <v>0</v>
      </c>
      <c r="K190" s="905">
        <f t="shared" si="102"/>
        <v>0</v>
      </c>
      <c r="L190" s="905">
        <f t="shared" si="102"/>
        <v>0</v>
      </c>
      <c r="M190" s="905">
        <f t="shared" si="102"/>
        <v>0</v>
      </c>
      <c r="N190" s="906">
        <f t="shared" si="102"/>
        <v>0</v>
      </c>
    </row>
    <row r="191" spans="1:14" s="889" customFormat="1" ht="15" customHeight="1">
      <c r="A191" s="2773"/>
      <c r="B191" s="2756"/>
      <c r="C191" s="1105" t="s">
        <v>2541</v>
      </c>
      <c r="D191" s="1102">
        <v>1</v>
      </c>
      <c r="E191" s="1104">
        <v>0.02</v>
      </c>
      <c r="F191" s="904">
        <f>SUM(G191:N191)</f>
        <v>0</v>
      </c>
      <c r="G191" s="905">
        <f t="shared" si="102"/>
        <v>0</v>
      </c>
      <c r="H191" s="905">
        <f t="shared" si="102"/>
        <v>0</v>
      </c>
      <c r="I191" s="905">
        <f t="shared" si="102"/>
        <v>0</v>
      </c>
      <c r="J191" s="905">
        <f t="shared" si="102"/>
        <v>0</v>
      </c>
      <c r="K191" s="905">
        <f t="shared" si="102"/>
        <v>0</v>
      </c>
      <c r="L191" s="905">
        <f t="shared" si="102"/>
        <v>0</v>
      </c>
      <c r="M191" s="905">
        <f t="shared" si="102"/>
        <v>0</v>
      </c>
      <c r="N191" s="906">
        <f t="shared" si="102"/>
        <v>0</v>
      </c>
    </row>
    <row r="192" spans="1:14" s="889" customFormat="1" ht="14.25" customHeight="1">
      <c r="A192" s="2773"/>
      <c r="B192" s="2756"/>
      <c r="C192" s="1105" t="s">
        <v>2619</v>
      </c>
      <c r="D192" s="1102">
        <v>1</v>
      </c>
      <c r="E192" s="1104">
        <v>0.02</v>
      </c>
      <c r="F192" s="904">
        <f>SUM(G192:N192)</f>
        <v>0</v>
      </c>
      <c r="G192" s="905">
        <f t="shared" si="102"/>
        <v>0</v>
      </c>
      <c r="H192" s="905">
        <f t="shared" si="102"/>
        <v>0</v>
      </c>
      <c r="I192" s="905">
        <f t="shared" si="102"/>
        <v>0</v>
      </c>
      <c r="J192" s="905">
        <f t="shared" si="102"/>
        <v>0</v>
      </c>
      <c r="K192" s="905">
        <f t="shared" si="102"/>
        <v>0</v>
      </c>
      <c r="L192" s="905">
        <f t="shared" si="102"/>
        <v>0</v>
      </c>
      <c r="M192" s="905">
        <f t="shared" si="102"/>
        <v>0</v>
      </c>
      <c r="N192" s="906">
        <f t="shared" si="102"/>
        <v>0</v>
      </c>
    </row>
    <row r="193" spans="1:14" s="889" customFormat="1" ht="14.25" customHeight="1">
      <c r="A193" s="2773"/>
      <c r="B193" s="2757"/>
      <c r="C193" s="1101" t="s">
        <v>2543</v>
      </c>
      <c r="D193" s="1102">
        <v>1</v>
      </c>
      <c r="E193" s="1104">
        <v>0.02</v>
      </c>
      <c r="F193" s="904">
        <f>SUM(G193:N193)</f>
        <v>0</v>
      </c>
      <c r="G193" s="905">
        <f t="shared" si="102"/>
        <v>0</v>
      </c>
      <c r="H193" s="905">
        <f t="shared" si="102"/>
        <v>0</v>
      </c>
      <c r="I193" s="905">
        <f t="shared" si="102"/>
        <v>0</v>
      </c>
      <c r="J193" s="905">
        <f t="shared" si="102"/>
        <v>0</v>
      </c>
      <c r="K193" s="905">
        <f t="shared" si="102"/>
        <v>0</v>
      </c>
      <c r="L193" s="905">
        <f t="shared" si="102"/>
        <v>0</v>
      </c>
      <c r="M193" s="905">
        <f t="shared" si="102"/>
        <v>0</v>
      </c>
      <c r="N193" s="906">
        <f t="shared" si="102"/>
        <v>0</v>
      </c>
    </row>
    <row r="194" spans="1:14" s="889" customFormat="1" ht="14.25" customHeight="1">
      <c r="A194" s="2774"/>
      <c r="B194" s="1106" t="s">
        <v>2632</v>
      </c>
      <c r="C194" s="1145" t="s">
        <v>2647</v>
      </c>
      <c r="D194" s="1108">
        <v>1</v>
      </c>
      <c r="E194" s="1109">
        <v>0</v>
      </c>
      <c r="F194" s="939">
        <f>SUM(G194:N194)</f>
        <v>602934</v>
      </c>
      <c r="G194" s="1064">
        <f>SUM(G130:G136)</f>
        <v>96063</v>
      </c>
      <c r="H194" s="1064">
        <f t="shared" ref="H194:N194" si="103">SUM(H130:H136)</f>
        <v>13658</v>
      </c>
      <c r="I194" s="1064">
        <f t="shared" si="103"/>
        <v>493213</v>
      </c>
      <c r="J194" s="1064">
        <f t="shared" si="103"/>
        <v>0</v>
      </c>
      <c r="K194" s="1064">
        <f>SUM(K130:K136)</f>
        <v>0</v>
      </c>
      <c r="L194" s="1064">
        <f t="shared" si="103"/>
        <v>0</v>
      </c>
      <c r="M194" s="1064">
        <f t="shared" si="103"/>
        <v>0</v>
      </c>
      <c r="N194" s="1065">
        <f t="shared" si="103"/>
        <v>0</v>
      </c>
    </row>
    <row r="195" spans="1:14" s="889" customFormat="1" ht="14.25" customHeight="1">
      <c r="A195" s="1110"/>
      <c r="B195" s="1111"/>
      <c r="C195" s="1112"/>
      <c r="D195" s="2775"/>
      <c r="E195" s="2775"/>
      <c r="F195" s="1099"/>
      <c r="G195" s="1100"/>
      <c r="H195" s="1100"/>
      <c r="I195" s="1100"/>
      <c r="J195" s="1100"/>
      <c r="K195" s="1100"/>
      <c r="L195" s="1100"/>
      <c r="M195" s="1100"/>
      <c r="N195" s="1113"/>
    </row>
    <row r="196" spans="1:14" s="889" customFormat="1" ht="14.25" customHeight="1">
      <c r="A196" s="2769" t="s">
        <v>2648</v>
      </c>
      <c r="B196" s="2770"/>
      <c r="C196" s="2771"/>
      <c r="D196" s="2776"/>
      <c r="E196" s="2776"/>
      <c r="F196" s="1092"/>
      <c r="G196" s="1093"/>
      <c r="H196" s="1093"/>
      <c r="I196" s="1093"/>
      <c r="J196" s="1093"/>
      <c r="K196" s="1093"/>
      <c r="L196" s="1093"/>
      <c r="M196" s="1093"/>
      <c r="N196" s="1094"/>
    </row>
    <row r="197" spans="1:14" s="889" customFormat="1" ht="14.25" customHeight="1">
      <c r="A197" s="2772"/>
      <c r="B197" s="2755" t="s">
        <v>2529</v>
      </c>
      <c r="C197" s="1114" t="s">
        <v>2530</v>
      </c>
      <c r="D197" s="1115"/>
      <c r="E197" s="1116" t="s">
        <v>2627</v>
      </c>
      <c r="F197" s="1117" t="s">
        <v>2635</v>
      </c>
      <c r="G197" s="1118">
        <f>IF(G181=0,0,+G282/100)</f>
        <v>0</v>
      </c>
      <c r="H197" s="1118">
        <f t="shared" ref="H197:N197" si="104">IF(H181=0,0,+H282/100)</f>
        <v>0</v>
      </c>
      <c r="I197" s="1118">
        <f t="shared" si="104"/>
        <v>0</v>
      </c>
      <c r="J197" s="1118">
        <f t="shared" si="104"/>
        <v>0</v>
      </c>
      <c r="K197" s="1118">
        <f>IF(K181=0,0,+K282/100)</f>
        <v>0</v>
      </c>
      <c r="L197" s="1118">
        <f t="shared" si="104"/>
        <v>0</v>
      </c>
      <c r="M197" s="1118">
        <f t="shared" si="104"/>
        <v>0</v>
      </c>
      <c r="N197" s="1119">
        <f t="shared" si="104"/>
        <v>0</v>
      </c>
    </row>
    <row r="198" spans="1:14" s="889" customFormat="1" ht="14.25" customHeight="1">
      <c r="A198" s="2773"/>
      <c r="B198" s="2756"/>
      <c r="C198" s="1120"/>
      <c r="D198" s="1121">
        <f>+D181</f>
        <v>1</v>
      </c>
      <c r="E198" s="1122" t="s">
        <v>2627</v>
      </c>
      <c r="F198" s="1055">
        <f>SUM(G198:N198)</f>
        <v>0</v>
      </c>
      <c r="G198" s="1071">
        <f>ROUNDDOWN(G181*G197*$D198,0)</f>
        <v>0</v>
      </c>
      <c r="H198" s="1071">
        <f t="shared" ref="H198:N198" si="105">ROUNDDOWN(H181*H197*$D198,0)</f>
        <v>0</v>
      </c>
      <c r="I198" s="1071">
        <f t="shared" si="105"/>
        <v>0</v>
      </c>
      <c r="J198" s="1071">
        <f t="shared" si="105"/>
        <v>0</v>
      </c>
      <c r="K198" s="1071">
        <f>ROUNDDOWN(K181*K197*$D198,0)</f>
        <v>0</v>
      </c>
      <c r="L198" s="1071">
        <f t="shared" si="105"/>
        <v>0</v>
      </c>
      <c r="M198" s="1071">
        <f t="shared" si="105"/>
        <v>0</v>
      </c>
      <c r="N198" s="1072">
        <f t="shared" si="105"/>
        <v>0</v>
      </c>
    </row>
    <row r="199" spans="1:14" s="889" customFormat="1" ht="14.25" customHeight="1">
      <c r="A199" s="2773"/>
      <c r="B199" s="2756"/>
      <c r="C199" s="1123" t="s">
        <v>2531</v>
      </c>
      <c r="D199" s="1124"/>
      <c r="E199" s="1122" t="s">
        <v>2627</v>
      </c>
      <c r="F199" s="1125" t="s">
        <v>2635</v>
      </c>
      <c r="G199" s="1146">
        <f>IF(G182=0,0,+G290/100)</f>
        <v>0.115</v>
      </c>
      <c r="H199" s="1126">
        <f t="shared" ref="H199:N199" si="106">IF(H182=0,0,+H290/100)</f>
        <v>9.4700000000000006E-2</v>
      </c>
      <c r="I199" s="1126">
        <f t="shared" si="106"/>
        <v>0.115</v>
      </c>
      <c r="J199" s="1126">
        <f t="shared" si="106"/>
        <v>0</v>
      </c>
      <c r="K199" s="1126">
        <f>IF(K182=0,0,+K290/100)</f>
        <v>0</v>
      </c>
      <c r="L199" s="1126">
        <f t="shared" si="106"/>
        <v>0</v>
      </c>
      <c r="M199" s="1126">
        <f t="shared" si="106"/>
        <v>0</v>
      </c>
      <c r="N199" s="1127">
        <f t="shared" si="106"/>
        <v>0</v>
      </c>
    </row>
    <row r="200" spans="1:14" s="889" customFormat="1" ht="14.25" customHeight="1">
      <c r="A200" s="2773"/>
      <c r="B200" s="2756"/>
      <c r="C200" s="1120"/>
      <c r="D200" s="1128">
        <f t="shared" ref="D200:D205" si="107">+D182</f>
        <v>1</v>
      </c>
      <c r="E200" s="1122" t="s">
        <v>2627</v>
      </c>
      <c r="F200" s="1055">
        <f t="shared" ref="F200:F205" si="108">SUM(G200:N200)</f>
        <v>23160157</v>
      </c>
      <c r="G200" s="1071">
        <f>ROUNDDOWN(G182*G199*$D200,0)</f>
        <v>4719792</v>
      </c>
      <c r="H200" s="1071">
        <f t="shared" ref="H200:N200" si="109">ROUNDDOWN(H182*H199*$D200,0)</f>
        <v>2736856</v>
      </c>
      <c r="I200" s="1071">
        <f t="shared" si="109"/>
        <v>15703509</v>
      </c>
      <c r="J200" s="1071">
        <f t="shared" si="109"/>
        <v>0</v>
      </c>
      <c r="K200" s="1071">
        <f>ROUNDDOWN(K182*K199*$D200,0)</f>
        <v>0</v>
      </c>
      <c r="L200" s="1071">
        <f t="shared" si="109"/>
        <v>0</v>
      </c>
      <c r="M200" s="1071">
        <f t="shared" si="109"/>
        <v>0</v>
      </c>
      <c r="N200" s="1072">
        <f t="shared" si="109"/>
        <v>0</v>
      </c>
    </row>
    <row r="201" spans="1:14" s="889" customFormat="1" ht="14.25" customHeight="1">
      <c r="A201" s="2773"/>
      <c r="B201" s="2756"/>
      <c r="C201" s="1101" t="s">
        <v>2553</v>
      </c>
      <c r="D201" s="1129">
        <f t="shared" si="107"/>
        <v>1</v>
      </c>
      <c r="E201" s="1122" t="s">
        <v>2627</v>
      </c>
      <c r="F201" s="1055">
        <f t="shared" si="108"/>
        <v>0</v>
      </c>
      <c r="G201" s="1071">
        <f t="shared" ref="G201:N201" si="110">ROUNDDOWN(G183*G197*$D201,0)</f>
        <v>0</v>
      </c>
      <c r="H201" s="1071">
        <f t="shared" si="110"/>
        <v>0</v>
      </c>
      <c r="I201" s="1071">
        <f t="shared" si="110"/>
        <v>0</v>
      </c>
      <c r="J201" s="1071">
        <f t="shared" si="110"/>
        <v>0</v>
      </c>
      <c r="K201" s="1071">
        <f>ROUNDDOWN(K183*K197*$D201,0)</f>
        <v>0</v>
      </c>
      <c r="L201" s="1071">
        <f t="shared" si="110"/>
        <v>0</v>
      </c>
      <c r="M201" s="1071">
        <f t="shared" si="110"/>
        <v>0</v>
      </c>
      <c r="N201" s="1072">
        <f t="shared" si="110"/>
        <v>0</v>
      </c>
    </row>
    <row r="202" spans="1:14" s="889" customFormat="1" ht="14.25" customHeight="1">
      <c r="A202" s="2773"/>
      <c r="B202" s="2757"/>
      <c r="C202" s="1101" t="s">
        <v>2554</v>
      </c>
      <c r="D202" s="1129">
        <f t="shared" si="107"/>
        <v>1</v>
      </c>
      <c r="E202" s="1122" t="s">
        <v>2627</v>
      </c>
      <c r="F202" s="1055">
        <f t="shared" si="108"/>
        <v>0</v>
      </c>
      <c r="G202" s="1071">
        <f>ROUNDDOWN(G184*G199*$D202,0)</f>
        <v>0</v>
      </c>
      <c r="H202" s="1071">
        <f t="shared" ref="H202:N202" si="111">ROUNDDOWN(H184*H199*$D202,0)</f>
        <v>0</v>
      </c>
      <c r="I202" s="1071">
        <f t="shared" si="111"/>
        <v>0</v>
      </c>
      <c r="J202" s="1071">
        <f t="shared" si="111"/>
        <v>0</v>
      </c>
      <c r="K202" s="1071">
        <f>ROUNDDOWN(K184*K199*$D202,0)</f>
        <v>0</v>
      </c>
      <c r="L202" s="1071">
        <f t="shared" si="111"/>
        <v>0</v>
      </c>
      <c r="M202" s="1071">
        <f t="shared" si="111"/>
        <v>0</v>
      </c>
      <c r="N202" s="1072">
        <f t="shared" si="111"/>
        <v>0</v>
      </c>
    </row>
    <row r="203" spans="1:14" s="889" customFormat="1" ht="14.25" customHeight="1">
      <c r="A203" s="2773"/>
      <c r="B203" s="2758" t="s">
        <v>2534</v>
      </c>
      <c r="C203" s="1101" t="s">
        <v>2630</v>
      </c>
      <c r="D203" s="1129">
        <f t="shared" si="107"/>
        <v>1</v>
      </c>
      <c r="E203" s="1104">
        <f>+E185</f>
        <v>0.02</v>
      </c>
      <c r="F203" s="1055">
        <f t="shared" si="108"/>
        <v>0</v>
      </c>
      <c r="G203" s="1071">
        <f t="shared" ref="G203:N205" si="112">ROUNDDOWN(G185*$E203*$D203,0)</f>
        <v>0</v>
      </c>
      <c r="H203" s="1071">
        <f t="shared" si="112"/>
        <v>0</v>
      </c>
      <c r="I203" s="1071">
        <f t="shared" si="112"/>
        <v>0</v>
      </c>
      <c r="J203" s="1071">
        <f t="shared" si="112"/>
        <v>0</v>
      </c>
      <c r="K203" s="1071">
        <f t="shared" si="112"/>
        <v>0</v>
      </c>
      <c r="L203" s="1071">
        <f t="shared" si="112"/>
        <v>0</v>
      </c>
      <c r="M203" s="1071">
        <f t="shared" si="112"/>
        <v>0</v>
      </c>
      <c r="N203" s="1072">
        <f t="shared" si="112"/>
        <v>0</v>
      </c>
    </row>
    <row r="204" spans="1:14" s="889" customFormat="1" ht="14.25" customHeight="1">
      <c r="A204" s="2773"/>
      <c r="B204" s="2756"/>
      <c r="C204" s="1101" t="s">
        <v>2636</v>
      </c>
      <c r="D204" s="1129">
        <f t="shared" si="107"/>
        <v>1</v>
      </c>
      <c r="E204" s="1104">
        <f>+E186</f>
        <v>0.02</v>
      </c>
      <c r="F204" s="1055">
        <f t="shared" si="108"/>
        <v>0</v>
      </c>
      <c r="G204" s="1071">
        <f t="shared" si="112"/>
        <v>0</v>
      </c>
      <c r="H204" s="1071">
        <f t="shared" si="112"/>
        <v>0</v>
      </c>
      <c r="I204" s="1071">
        <f t="shared" si="112"/>
        <v>0</v>
      </c>
      <c r="J204" s="1071">
        <f t="shared" si="112"/>
        <v>0</v>
      </c>
      <c r="K204" s="1071">
        <f>ROUNDDOWN(K186*$E204*$D204,0)</f>
        <v>0</v>
      </c>
      <c r="L204" s="1071">
        <f t="shared" si="112"/>
        <v>0</v>
      </c>
      <c r="M204" s="1071">
        <f t="shared" si="112"/>
        <v>0</v>
      </c>
      <c r="N204" s="1072">
        <f t="shared" si="112"/>
        <v>0</v>
      </c>
    </row>
    <row r="205" spans="1:14" s="889" customFormat="1" ht="14.25" customHeight="1">
      <c r="A205" s="2773"/>
      <c r="B205" s="2756"/>
      <c r="C205" s="1101" t="s">
        <v>2537</v>
      </c>
      <c r="D205" s="1129">
        <f t="shared" si="107"/>
        <v>1</v>
      </c>
      <c r="E205" s="1104">
        <f>+E187</f>
        <v>0.02</v>
      </c>
      <c r="F205" s="1055">
        <f t="shared" si="108"/>
        <v>113598</v>
      </c>
      <c r="G205" s="1071">
        <f>ROUNDDOWN(G187*$E205*$D205,0)</f>
        <v>73164</v>
      </c>
      <c r="H205" s="1071">
        <f t="shared" si="112"/>
        <v>0</v>
      </c>
      <c r="I205" s="1071">
        <f t="shared" si="112"/>
        <v>40434</v>
      </c>
      <c r="J205" s="1071">
        <f t="shared" si="112"/>
        <v>0</v>
      </c>
      <c r="K205" s="1071">
        <f>ROUNDDOWN(K187*$E205*$D205,0)</f>
        <v>0</v>
      </c>
      <c r="L205" s="1071">
        <f t="shared" si="112"/>
        <v>0</v>
      </c>
      <c r="M205" s="1071">
        <f t="shared" si="112"/>
        <v>0</v>
      </c>
      <c r="N205" s="1072">
        <f t="shared" si="112"/>
        <v>0</v>
      </c>
    </row>
    <row r="206" spans="1:14" s="889" customFormat="1" ht="14.25" customHeight="1">
      <c r="A206" s="2773"/>
      <c r="B206" s="2756"/>
      <c r="C206" s="1101" t="s">
        <v>2617</v>
      </c>
      <c r="D206" s="1129"/>
      <c r="E206" s="1104"/>
      <c r="F206" s="1055"/>
      <c r="G206" s="1071"/>
      <c r="H206" s="1071"/>
      <c r="I206" s="1071"/>
      <c r="J206" s="1071"/>
      <c r="K206" s="1071"/>
      <c r="L206" s="1071"/>
      <c r="M206" s="1071"/>
      <c r="N206" s="1072"/>
    </row>
    <row r="207" spans="1:14" s="889" customFormat="1" ht="14.25" customHeight="1">
      <c r="A207" s="2773"/>
      <c r="B207" s="2756"/>
      <c r="C207" s="1130"/>
      <c r="D207" s="1129"/>
      <c r="E207" s="1104"/>
      <c r="F207" s="1055"/>
      <c r="G207" s="1071"/>
      <c r="H207" s="1071"/>
      <c r="I207" s="1071"/>
      <c r="J207" s="1071"/>
      <c r="K207" s="1071"/>
      <c r="L207" s="1071"/>
      <c r="M207" s="1071"/>
      <c r="N207" s="1072"/>
    </row>
    <row r="208" spans="1:14" s="889" customFormat="1" ht="14.25" customHeight="1">
      <c r="A208" s="2773"/>
      <c r="B208" s="2756"/>
      <c r="C208" s="1101" t="s">
        <v>2540</v>
      </c>
      <c r="D208" s="1129">
        <f t="shared" ref="D208:E211" si="113">+D190</f>
        <v>1</v>
      </c>
      <c r="E208" s="1104">
        <f t="shared" si="113"/>
        <v>0.02</v>
      </c>
      <c r="F208" s="1055">
        <f t="shared" ref="F208:F216" si="114">SUM(G208:N208)</f>
        <v>0</v>
      </c>
      <c r="G208" s="1071">
        <f t="shared" ref="G208:N211" si="115">ROUNDDOWN(G190*$E208*$D208,0)</f>
        <v>0</v>
      </c>
      <c r="H208" s="1071">
        <f t="shared" si="115"/>
        <v>0</v>
      </c>
      <c r="I208" s="1071">
        <f t="shared" si="115"/>
        <v>0</v>
      </c>
      <c r="J208" s="1071">
        <f t="shared" si="115"/>
        <v>0</v>
      </c>
      <c r="K208" s="1071">
        <f>ROUNDDOWN(K190*$E208*$D208,0)</f>
        <v>0</v>
      </c>
      <c r="L208" s="1071">
        <f t="shared" si="115"/>
        <v>0</v>
      </c>
      <c r="M208" s="1071">
        <f t="shared" si="115"/>
        <v>0</v>
      </c>
      <c r="N208" s="1072">
        <f t="shared" si="115"/>
        <v>0</v>
      </c>
    </row>
    <row r="209" spans="1:14" s="889" customFormat="1" ht="14.25" customHeight="1">
      <c r="A209" s="2773"/>
      <c r="B209" s="2756"/>
      <c r="C209" s="1105" t="s">
        <v>2541</v>
      </c>
      <c r="D209" s="1129">
        <f t="shared" si="113"/>
        <v>1</v>
      </c>
      <c r="E209" s="1104">
        <f t="shared" si="113"/>
        <v>0.02</v>
      </c>
      <c r="F209" s="1055">
        <f t="shared" si="114"/>
        <v>0</v>
      </c>
      <c r="G209" s="1071">
        <f t="shared" si="115"/>
        <v>0</v>
      </c>
      <c r="H209" s="1071">
        <f t="shared" si="115"/>
        <v>0</v>
      </c>
      <c r="I209" s="1071">
        <f t="shared" si="115"/>
        <v>0</v>
      </c>
      <c r="J209" s="1071">
        <f t="shared" si="115"/>
        <v>0</v>
      </c>
      <c r="K209" s="1071">
        <f>ROUNDDOWN(K191*$E209*$D209,0)</f>
        <v>0</v>
      </c>
      <c r="L209" s="1071">
        <f t="shared" si="115"/>
        <v>0</v>
      </c>
      <c r="M209" s="1071">
        <f t="shared" si="115"/>
        <v>0</v>
      </c>
      <c r="N209" s="1072">
        <f t="shared" si="115"/>
        <v>0</v>
      </c>
    </row>
    <row r="210" spans="1:14" s="889" customFormat="1" ht="14.25" customHeight="1">
      <c r="A210" s="2773"/>
      <c r="B210" s="2756"/>
      <c r="C210" s="1105" t="s">
        <v>2619</v>
      </c>
      <c r="D210" s="1129">
        <f t="shared" si="113"/>
        <v>1</v>
      </c>
      <c r="E210" s="1104">
        <f t="shared" si="113"/>
        <v>0.02</v>
      </c>
      <c r="F210" s="1055">
        <f t="shared" si="114"/>
        <v>0</v>
      </c>
      <c r="G210" s="1071">
        <f t="shared" si="115"/>
        <v>0</v>
      </c>
      <c r="H210" s="1071">
        <f t="shared" si="115"/>
        <v>0</v>
      </c>
      <c r="I210" s="1071">
        <f t="shared" si="115"/>
        <v>0</v>
      </c>
      <c r="J210" s="1071">
        <f t="shared" si="115"/>
        <v>0</v>
      </c>
      <c r="K210" s="1071">
        <f>ROUNDDOWN(K192*$E210*$D210,0)</f>
        <v>0</v>
      </c>
      <c r="L210" s="1071">
        <f t="shared" si="115"/>
        <v>0</v>
      </c>
      <c r="M210" s="1071">
        <f t="shared" si="115"/>
        <v>0</v>
      </c>
      <c r="N210" s="1072">
        <f t="shared" si="115"/>
        <v>0</v>
      </c>
    </row>
    <row r="211" spans="1:14" s="889" customFormat="1" ht="14.25" customHeight="1">
      <c r="A211" s="2773"/>
      <c r="B211" s="2757"/>
      <c r="C211" s="1101" t="s">
        <v>2649</v>
      </c>
      <c r="D211" s="1129">
        <f t="shared" si="113"/>
        <v>1</v>
      </c>
      <c r="E211" s="1104">
        <f t="shared" si="113"/>
        <v>0.02</v>
      </c>
      <c r="F211" s="1055">
        <f t="shared" si="114"/>
        <v>0</v>
      </c>
      <c r="G211" s="1071">
        <f>ROUNDDOWN(G193*$E211*$D211,0)</f>
        <v>0</v>
      </c>
      <c r="H211" s="1071">
        <f t="shared" si="115"/>
        <v>0</v>
      </c>
      <c r="I211" s="1071">
        <f t="shared" si="115"/>
        <v>0</v>
      </c>
      <c r="J211" s="1071">
        <f t="shared" si="115"/>
        <v>0</v>
      </c>
      <c r="K211" s="1071">
        <f>ROUNDDOWN(K193*$E211*$D211,0)</f>
        <v>0</v>
      </c>
      <c r="L211" s="1071">
        <f t="shared" si="115"/>
        <v>0</v>
      </c>
      <c r="M211" s="1071">
        <f t="shared" si="115"/>
        <v>0</v>
      </c>
      <c r="N211" s="1072">
        <f t="shared" si="115"/>
        <v>0</v>
      </c>
    </row>
    <row r="212" spans="1:14" s="889" customFormat="1" ht="14.25" customHeight="1">
      <c r="A212" s="2773"/>
      <c r="B212" s="2794" t="s">
        <v>2650</v>
      </c>
      <c r="C212" s="1101" t="s">
        <v>2562</v>
      </c>
      <c r="D212" s="1147"/>
      <c r="E212" s="1148"/>
      <c r="F212" s="1055">
        <f t="shared" si="114"/>
        <v>0</v>
      </c>
      <c r="G212" s="1149"/>
      <c r="H212" s="1149"/>
      <c r="I212" s="1149"/>
      <c r="J212" s="1149"/>
      <c r="K212" s="1149"/>
      <c r="L212" s="1149"/>
      <c r="M212" s="1149"/>
      <c r="N212" s="1150"/>
    </row>
    <row r="213" spans="1:14" s="889" customFormat="1" ht="14.25" customHeight="1">
      <c r="A213" s="2773"/>
      <c r="B213" s="2795"/>
      <c r="C213" s="1151" t="s">
        <v>2651</v>
      </c>
      <c r="D213" s="1147"/>
      <c r="E213" s="1148"/>
      <c r="F213" s="1055">
        <f t="shared" si="114"/>
        <v>0</v>
      </c>
      <c r="G213" s="905"/>
      <c r="H213" s="905"/>
      <c r="I213" s="905"/>
      <c r="J213" s="905"/>
      <c r="K213" s="905"/>
      <c r="L213" s="905"/>
      <c r="M213" s="905"/>
      <c r="N213" s="906"/>
    </row>
    <row r="214" spans="1:14" s="889" customFormat="1" ht="13.5" customHeight="1" thickBot="1">
      <c r="A214" s="2777"/>
      <c r="B214" s="1152" t="s">
        <v>2632</v>
      </c>
      <c r="C214" s="1145" t="s">
        <v>2647</v>
      </c>
      <c r="D214" s="1147">
        <f>+D194</f>
        <v>1</v>
      </c>
      <c r="E214" s="1148">
        <f>+E194</f>
        <v>0</v>
      </c>
      <c r="F214" s="1055">
        <f t="shared" si="114"/>
        <v>0</v>
      </c>
      <c r="G214" s="1071">
        <f>ROUNDDOWN(G194*$E214*$D214,0)</f>
        <v>0</v>
      </c>
      <c r="H214" s="1071">
        <f t="shared" ref="H214:N214" si="116">ROUNDDOWN(H194*$E214*$D214,0)</f>
        <v>0</v>
      </c>
      <c r="I214" s="1071">
        <f t="shared" si="116"/>
        <v>0</v>
      </c>
      <c r="J214" s="1071">
        <f t="shared" si="116"/>
        <v>0</v>
      </c>
      <c r="K214" s="1071">
        <f>ROUNDDOWN(K194*$E214*$D214,0)</f>
        <v>0</v>
      </c>
      <c r="L214" s="1071">
        <f t="shared" si="116"/>
        <v>0</v>
      </c>
      <c r="M214" s="1071">
        <f t="shared" si="116"/>
        <v>0</v>
      </c>
      <c r="N214" s="1153">
        <f t="shared" si="116"/>
        <v>0</v>
      </c>
    </row>
    <row r="215" spans="1:14" s="889" customFormat="1" ht="13.5" customHeight="1" thickTop="1">
      <c r="A215" s="1154"/>
      <c r="B215" s="1155"/>
      <c r="C215" s="1156" t="s">
        <v>2652</v>
      </c>
      <c r="D215" s="1157"/>
      <c r="E215" s="1158"/>
      <c r="F215" s="1159">
        <f t="shared" si="114"/>
        <v>23273755</v>
      </c>
      <c r="G215" s="1160">
        <f t="shared" ref="G215:N215" si="117">SUM(G200:G214)+G198</f>
        <v>4792956</v>
      </c>
      <c r="H215" s="1160">
        <f>SUM(H200:H214)+H198</f>
        <v>2736856</v>
      </c>
      <c r="I215" s="1160">
        <f>SUM(I200:I214)+I198</f>
        <v>15743943</v>
      </c>
      <c r="J215" s="1160">
        <f t="shared" si="117"/>
        <v>0</v>
      </c>
      <c r="K215" s="1160">
        <f>SUM(K200:K214)+K198</f>
        <v>0</v>
      </c>
      <c r="L215" s="1160">
        <f t="shared" si="117"/>
        <v>0</v>
      </c>
      <c r="M215" s="1160">
        <f t="shared" si="117"/>
        <v>0</v>
      </c>
      <c r="N215" s="1161">
        <f t="shared" si="117"/>
        <v>0</v>
      </c>
    </row>
    <row r="216" spans="1:14" s="889" customFormat="1" ht="13.5" customHeight="1">
      <c r="A216" s="1162"/>
      <c r="B216" s="1163"/>
      <c r="C216" s="1063" t="s">
        <v>2653</v>
      </c>
      <c r="D216" s="1164"/>
      <c r="E216" s="938"/>
      <c r="F216" s="939">
        <f t="shared" si="114"/>
        <v>236050839</v>
      </c>
      <c r="G216" s="1064">
        <f t="shared" ref="G216:N216" si="118">+G91+G215</f>
        <v>49588917</v>
      </c>
      <c r="H216" s="1064">
        <f>+H91+H215</f>
        <v>31650790</v>
      </c>
      <c r="I216" s="1064">
        <f t="shared" si="118"/>
        <v>154811132</v>
      </c>
      <c r="J216" s="1064">
        <f t="shared" si="118"/>
        <v>0</v>
      </c>
      <c r="K216" s="1064">
        <f>+K91+K215</f>
        <v>0</v>
      </c>
      <c r="L216" s="1064">
        <f t="shared" si="118"/>
        <v>0</v>
      </c>
      <c r="M216" s="1064">
        <f t="shared" si="118"/>
        <v>0</v>
      </c>
      <c r="N216" s="1065">
        <f t="shared" si="118"/>
        <v>0</v>
      </c>
    </row>
    <row r="217" spans="1:14" s="889" customFormat="1" ht="13.5" customHeight="1">
      <c r="A217" s="1286"/>
      <c r="B217" s="1286"/>
      <c r="C217" s="917"/>
      <c r="D217" s="917"/>
      <c r="E217" s="1286"/>
      <c r="F217" s="1144"/>
      <c r="G217" s="908"/>
      <c r="H217" s="908"/>
      <c r="I217" s="908"/>
      <c r="J217" s="908"/>
      <c r="K217" s="908"/>
      <c r="L217" s="908"/>
      <c r="M217" s="908"/>
      <c r="N217" s="908"/>
    </row>
    <row r="218" spans="1:14" s="889" customFormat="1" ht="13.5" customHeight="1">
      <c r="A218" s="1286"/>
      <c r="B218" s="1286"/>
      <c r="C218" s="1090" t="s">
        <v>2654</v>
      </c>
      <c r="D218" s="1090"/>
      <c r="E218" s="916"/>
      <c r="F218" s="1033"/>
      <c r="G218" s="1091"/>
      <c r="H218" s="1037"/>
      <c r="I218" s="1037"/>
      <c r="J218" s="1037"/>
      <c r="K218" s="1037"/>
      <c r="L218" s="1037"/>
      <c r="M218" s="1037"/>
      <c r="N218" s="1091" t="s">
        <v>2655</v>
      </c>
    </row>
    <row r="219" spans="1:14" s="889" customFormat="1" ht="13.5" customHeight="1">
      <c r="A219" s="1061"/>
      <c r="B219" s="1061"/>
      <c r="C219" s="1061"/>
      <c r="D219" s="1061"/>
      <c r="E219" s="1061"/>
      <c r="F219" s="1031"/>
      <c r="G219" s="1165"/>
      <c r="H219" s="1165"/>
      <c r="I219" s="1165"/>
      <c r="J219" s="1165"/>
      <c r="K219" s="1165"/>
      <c r="L219" s="1165"/>
      <c r="M219" s="1165"/>
      <c r="N219" s="1165"/>
    </row>
    <row r="220" spans="1:14" s="889" customFormat="1" ht="13.5" customHeight="1">
      <c r="A220" s="2778"/>
      <c r="B220" s="2779"/>
      <c r="C220" s="2780"/>
      <c r="D220" s="1166"/>
      <c r="E220" s="1082" t="s">
        <v>2656</v>
      </c>
      <c r="F220" s="1083" t="s">
        <v>2505</v>
      </c>
      <c r="G220" s="1084" t="str">
        <f t="shared" ref="G220:N220" si="119">+G86</f>
        <v>工事6</v>
      </c>
      <c r="H220" s="1084" t="str">
        <f t="shared" si="119"/>
        <v>工事7</v>
      </c>
      <c r="I220" s="1084" t="str">
        <f t="shared" si="119"/>
        <v>工事8</v>
      </c>
      <c r="J220" s="1084">
        <f t="shared" si="119"/>
        <v>0</v>
      </c>
      <c r="K220" s="1084">
        <f t="shared" si="119"/>
        <v>0</v>
      </c>
      <c r="L220" s="1084">
        <f t="shared" si="119"/>
        <v>0</v>
      </c>
      <c r="M220" s="1084">
        <f t="shared" si="119"/>
        <v>0</v>
      </c>
      <c r="N220" s="1085">
        <f t="shared" si="119"/>
        <v>0</v>
      </c>
    </row>
    <row r="221" spans="1:14" s="889" customFormat="1" ht="13.5" customHeight="1" thickBot="1">
      <c r="A221" s="2781"/>
      <c r="B221" s="2782"/>
      <c r="C221" s="2783"/>
      <c r="D221" s="1167"/>
      <c r="E221" s="1168"/>
      <c r="F221" s="1044"/>
      <c r="G221" s="1169"/>
      <c r="H221" s="1169"/>
      <c r="I221" s="1169"/>
      <c r="J221" s="1169"/>
      <c r="K221" s="1169"/>
      <c r="L221" s="1169"/>
      <c r="M221" s="1169"/>
      <c r="N221" s="1170"/>
    </row>
    <row r="222" spans="1:14" s="889" customFormat="1" ht="13.5" customHeight="1" thickBot="1">
      <c r="A222" s="1171"/>
      <c r="B222" s="1172"/>
      <c r="C222" s="1173" t="s">
        <v>2657</v>
      </c>
      <c r="D222" s="1174"/>
      <c r="E222" s="1175"/>
      <c r="F222" s="1176">
        <f>SUM(G222:N222)</f>
        <v>236050839</v>
      </c>
      <c r="G222" s="1177">
        <f t="shared" ref="G222:N222" si="120">IF(G223="",+G216,0)</f>
        <v>49588917</v>
      </c>
      <c r="H222" s="1177">
        <f t="shared" si="120"/>
        <v>31650790</v>
      </c>
      <c r="I222" s="1177">
        <f t="shared" si="120"/>
        <v>154811132</v>
      </c>
      <c r="J222" s="1177">
        <f t="shared" si="120"/>
        <v>0</v>
      </c>
      <c r="K222" s="1177">
        <f t="shared" si="120"/>
        <v>0</v>
      </c>
      <c r="L222" s="1177">
        <f t="shared" si="120"/>
        <v>0</v>
      </c>
      <c r="M222" s="1177">
        <f t="shared" si="120"/>
        <v>0</v>
      </c>
      <c r="N222" s="1178">
        <f t="shared" si="120"/>
        <v>0</v>
      </c>
    </row>
    <row r="223" spans="1:14" s="889" customFormat="1" ht="13.5" customHeight="1">
      <c r="A223" s="1285"/>
      <c r="B223" s="1286"/>
      <c r="C223" s="1179" t="s">
        <v>2658</v>
      </c>
      <c r="D223" s="1180"/>
      <c r="E223" s="1181"/>
      <c r="F223" s="919">
        <f>SUM(G223:N223)</f>
        <v>0</v>
      </c>
      <c r="G223" s="919" t="str">
        <f>IF(G245="","",G216)</f>
        <v/>
      </c>
      <c r="H223" s="919" t="str">
        <f t="shared" ref="H223:N223" si="121">IF(H245="","",H216)</f>
        <v/>
      </c>
      <c r="I223" s="919" t="str">
        <f>IF(I245="","",I216)</f>
        <v/>
      </c>
      <c r="J223" s="919" t="str">
        <f t="shared" si="121"/>
        <v/>
      </c>
      <c r="K223" s="919" t="str">
        <f t="shared" si="121"/>
        <v/>
      </c>
      <c r="L223" s="919" t="str">
        <f t="shared" si="121"/>
        <v/>
      </c>
      <c r="M223" s="919" t="str">
        <f t="shared" si="121"/>
        <v/>
      </c>
      <c r="N223" s="1182" t="str">
        <f t="shared" si="121"/>
        <v/>
      </c>
    </row>
    <row r="224" spans="1:14" s="889" customFormat="1" ht="13.5" customHeight="1">
      <c r="A224" s="1162"/>
      <c r="B224" s="1163"/>
      <c r="C224" s="2784" t="s">
        <v>2659</v>
      </c>
      <c r="D224" s="2784"/>
      <c r="E224" s="2785"/>
      <c r="F224" s="939">
        <f>F222+F223-F232</f>
        <v>236050839</v>
      </c>
      <c r="G224" s="1064"/>
      <c r="H224" s="1064"/>
      <c r="I224" s="1064"/>
      <c r="J224" s="1064"/>
      <c r="K224" s="1064"/>
      <c r="L224" s="1064"/>
      <c r="M224" s="1064"/>
      <c r="N224" s="1065"/>
    </row>
    <row r="225" spans="1:14" s="889" customFormat="1" ht="13.5" customHeight="1">
      <c r="A225" s="870"/>
      <c r="B225" s="871"/>
      <c r="C225" s="871"/>
      <c r="D225" s="1183"/>
      <c r="E225" s="874" t="str">
        <f>E86</f>
        <v>無し</v>
      </c>
      <c r="F225" s="2786" t="s">
        <v>2660</v>
      </c>
      <c r="G225" s="2787"/>
      <c r="H225" s="1068"/>
      <c r="I225" s="1068"/>
      <c r="J225" s="1068"/>
      <c r="K225" s="1068"/>
      <c r="L225" s="1068"/>
      <c r="M225" s="1068"/>
      <c r="N225" s="1069"/>
    </row>
    <row r="226" spans="1:14" s="889" customFormat="1" ht="13.5" customHeight="1">
      <c r="A226" s="2788" t="s">
        <v>2661</v>
      </c>
      <c r="B226" s="2789"/>
      <c r="C226" s="2790"/>
      <c r="D226" s="1184"/>
      <c r="E226" s="1185" t="str">
        <f>+E87</f>
        <v>有り</v>
      </c>
      <c r="F226" s="2791" t="s">
        <v>2662</v>
      </c>
      <c r="G226" s="2792"/>
      <c r="H226" s="1064"/>
      <c r="I226" s="1064"/>
      <c r="J226" s="1064"/>
      <c r="K226" s="1064"/>
      <c r="L226" s="1064"/>
      <c r="M226" s="1064"/>
      <c r="N226" s="1065"/>
    </row>
    <row r="227" spans="1:14" s="889" customFormat="1" ht="13.5" customHeight="1">
      <c r="A227" s="2793"/>
      <c r="B227" s="1186" t="s">
        <v>161</v>
      </c>
      <c r="C227" s="1187" t="s">
        <v>2663</v>
      </c>
      <c r="D227" s="1188">
        <v>1</v>
      </c>
      <c r="E227" s="1189">
        <f>+G296/100</f>
        <v>0.1193</v>
      </c>
      <c r="F227" s="900">
        <f>SUM(G227:N227)</f>
        <v>236050839</v>
      </c>
      <c r="G227" s="1068">
        <f>+G222-G232</f>
        <v>49588917</v>
      </c>
      <c r="H227" s="1068">
        <f t="shared" ref="H227:N227" si="122">+H222-H232</f>
        <v>31650790</v>
      </c>
      <c r="I227" s="1068">
        <f>+I222-I232</f>
        <v>154811132</v>
      </c>
      <c r="J227" s="1068">
        <f t="shared" si="122"/>
        <v>0</v>
      </c>
      <c r="K227" s="1068">
        <f t="shared" si="122"/>
        <v>0</v>
      </c>
      <c r="L227" s="1068">
        <f t="shared" si="122"/>
        <v>0</v>
      </c>
      <c r="M227" s="1068">
        <f t="shared" si="122"/>
        <v>0</v>
      </c>
      <c r="N227" s="1069">
        <f t="shared" si="122"/>
        <v>0</v>
      </c>
    </row>
    <row r="228" spans="1:14" s="889" customFormat="1" ht="13.5" customHeight="1">
      <c r="A228" s="2753"/>
      <c r="B228" s="2758" t="s">
        <v>2664</v>
      </c>
      <c r="C228" s="903" t="s">
        <v>2665</v>
      </c>
      <c r="D228" s="1129">
        <v>0.05</v>
      </c>
      <c r="E228" s="1104">
        <f>IF(OR(G83="無し",G83="なし"),IF(E225="無し",E227,0),0)</f>
        <v>0.1193</v>
      </c>
      <c r="F228" s="904">
        <f>SUM(G228:N228)</f>
        <v>236050839</v>
      </c>
      <c r="G228" s="905">
        <f>IF(G245=0,+G227,0)</f>
        <v>49588917</v>
      </c>
      <c r="H228" s="905">
        <f>IF(H245=0,+H227,0)</f>
        <v>31650790</v>
      </c>
      <c r="I228" s="905">
        <f t="shared" ref="I228:N228" si="123">IF(I245=0,+I227,0)</f>
        <v>154811132</v>
      </c>
      <c r="J228" s="905">
        <f t="shared" si="123"/>
        <v>0</v>
      </c>
      <c r="K228" s="905">
        <f t="shared" si="123"/>
        <v>0</v>
      </c>
      <c r="L228" s="905">
        <f t="shared" si="123"/>
        <v>0</v>
      </c>
      <c r="M228" s="905">
        <f t="shared" si="123"/>
        <v>0</v>
      </c>
      <c r="N228" s="906">
        <f t="shared" si="123"/>
        <v>0</v>
      </c>
    </row>
    <row r="229" spans="1:14" s="889" customFormat="1" ht="13.5" customHeight="1">
      <c r="A229" s="2753"/>
      <c r="B229" s="2757"/>
      <c r="C229" s="903" t="s">
        <v>2666</v>
      </c>
      <c r="D229" s="1190">
        <v>1</v>
      </c>
      <c r="E229" s="1104">
        <f>IF(OR(E226="無し",E226="なし"),0,0.0004)</f>
        <v>4.0000000000000002E-4</v>
      </c>
      <c r="F229" s="904">
        <f>SUM(G229:N229)</f>
        <v>236050839</v>
      </c>
      <c r="G229" s="905">
        <f>IF(G245=0,+G227,0)</f>
        <v>49588917</v>
      </c>
      <c r="H229" s="905">
        <f t="shared" ref="H229:N229" si="124">IF(H245=0,+H227,0)</f>
        <v>31650790</v>
      </c>
      <c r="I229" s="905">
        <f t="shared" si="124"/>
        <v>154811132</v>
      </c>
      <c r="J229" s="905">
        <f t="shared" si="124"/>
        <v>0</v>
      </c>
      <c r="K229" s="905">
        <f t="shared" si="124"/>
        <v>0</v>
      </c>
      <c r="L229" s="905">
        <f t="shared" si="124"/>
        <v>0</v>
      </c>
      <c r="M229" s="905">
        <f t="shared" si="124"/>
        <v>0</v>
      </c>
      <c r="N229" s="906">
        <f t="shared" si="124"/>
        <v>0</v>
      </c>
    </row>
    <row r="230" spans="1:14" s="889" customFormat="1" ht="13.5" customHeight="1">
      <c r="A230" s="2753"/>
      <c r="B230" s="1191"/>
      <c r="C230" s="903"/>
      <c r="D230" s="1192"/>
      <c r="E230" s="1192"/>
      <c r="F230" s="904"/>
      <c r="G230" s="905"/>
      <c r="H230" s="905"/>
      <c r="I230" s="905"/>
      <c r="J230" s="905"/>
      <c r="K230" s="905"/>
      <c r="L230" s="905"/>
      <c r="M230" s="905"/>
      <c r="N230" s="906"/>
    </row>
    <row r="231" spans="1:14" s="889" customFormat="1" ht="13.5" customHeight="1">
      <c r="A231" s="2753"/>
      <c r="B231" s="1191"/>
      <c r="C231" s="903"/>
      <c r="D231" s="1192"/>
      <c r="E231" s="1192"/>
      <c r="F231" s="904"/>
      <c r="G231" s="905"/>
      <c r="H231" s="905"/>
      <c r="I231" s="905"/>
      <c r="J231" s="905"/>
      <c r="K231" s="905"/>
      <c r="L231" s="905"/>
      <c r="M231" s="905"/>
      <c r="N231" s="906"/>
    </row>
    <row r="232" spans="1:14" s="889" customFormat="1" ht="13.5" customHeight="1">
      <c r="A232" s="2753"/>
      <c r="B232" s="2758" t="s">
        <v>2667</v>
      </c>
      <c r="C232" s="1101" t="str">
        <f>+C136</f>
        <v>(17)下水道使用料、各種負担金（共通仮設）</v>
      </c>
      <c r="D232" s="1193">
        <v>1</v>
      </c>
      <c r="E232" s="1194">
        <v>0</v>
      </c>
      <c r="F232" s="904">
        <f>SUM(G232:N232)</f>
        <v>0</v>
      </c>
      <c r="G232" s="905">
        <f>+G136</f>
        <v>0</v>
      </c>
      <c r="H232" s="905">
        <f t="shared" ref="H232:N232" si="125">+H136</f>
        <v>0</v>
      </c>
      <c r="I232" s="905">
        <f t="shared" si="125"/>
        <v>0</v>
      </c>
      <c r="J232" s="905">
        <f t="shared" si="125"/>
        <v>0</v>
      </c>
      <c r="K232" s="905">
        <f>+K136</f>
        <v>0</v>
      </c>
      <c r="L232" s="905">
        <f t="shared" si="125"/>
        <v>0</v>
      </c>
      <c r="M232" s="905">
        <f t="shared" si="125"/>
        <v>0</v>
      </c>
      <c r="N232" s="906">
        <f t="shared" si="125"/>
        <v>0</v>
      </c>
    </row>
    <row r="233" spans="1:14" s="889" customFormat="1" ht="13.5" customHeight="1">
      <c r="A233" s="2753"/>
      <c r="B233" s="2756"/>
      <c r="C233" s="1195"/>
      <c r="D233" s="1101"/>
      <c r="E233" s="1194"/>
      <c r="F233" s="904"/>
      <c r="G233" s="905"/>
      <c r="H233" s="905"/>
      <c r="I233" s="905"/>
      <c r="J233" s="905"/>
      <c r="K233" s="905"/>
      <c r="L233" s="905"/>
      <c r="M233" s="905"/>
      <c r="N233" s="906"/>
    </row>
    <row r="234" spans="1:14" s="889" customFormat="1" ht="13.5" customHeight="1">
      <c r="A234" s="2754"/>
      <c r="B234" s="2759"/>
      <c r="C234" s="1196"/>
      <c r="D234" s="1145"/>
      <c r="E234" s="1197"/>
      <c r="F234" s="939"/>
      <c r="G234" s="1064"/>
      <c r="H234" s="1064"/>
      <c r="I234" s="1064"/>
      <c r="J234" s="1064"/>
      <c r="K234" s="1064"/>
      <c r="L234" s="1064"/>
      <c r="M234" s="1064"/>
      <c r="N234" s="1065"/>
    </row>
    <row r="235" spans="1:14" s="889" customFormat="1" ht="13.5" customHeight="1">
      <c r="A235" s="870"/>
      <c r="B235" s="871"/>
      <c r="C235" s="1198"/>
      <c r="D235" s="1199"/>
      <c r="E235" s="1200"/>
      <c r="F235" s="900"/>
      <c r="G235" s="1068"/>
      <c r="H235" s="1068"/>
      <c r="I235" s="1068"/>
      <c r="J235" s="1068"/>
      <c r="K235" s="1068"/>
      <c r="L235" s="1068"/>
      <c r="M235" s="1068"/>
      <c r="N235" s="1069"/>
    </row>
    <row r="236" spans="1:14" s="889" customFormat="1" ht="13.5" customHeight="1">
      <c r="A236" s="2788" t="s">
        <v>2668</v>
      </c>
      <c r="B236" s="2789"/>
      <c r="C236" s="2790"/>
      <c r="D236" s="1201"/>
      <c r="E236" s="1202"/>
      <c r="F236" s="1203"/>
      <c r="G236" s="1064"/>
      <c r="H236" s="1064"/>
      <c r="I236" s="1064"/>
      <c r="J236" s="1064"/>
      <c r="K236" s="1064"/>
      <c r="L236" s="1064"/>
      <c r="M236" s="1064"/>
      <c r="N236" s="1065"/>
    </row>
    <row r="237" spans="1:14" s="889" customFormat="1" ht="13.5" customHeight="1">
      <c r="A237" s="1285"/>
      <c r="B237" s="1204" t="s">
        <v>161</v>
      </c>
      <c r="C237" s="1187" t="s">
        <v>2663</v>
      </c>
      <c r="D237" s="1188">
        <f t="shared" ref="D237:E239" si="126">+D227</f>
        <v>1</v>
      </c>
      <c r="E237" s="1205">
        <f>+E227</f>
        <v>0.1193</v>
      </c>
      <c r="F237" s="904">
        <f>INT(D237*E237*F227)</f>
        <v>28160865</v>
      </c>
      <c r="G237" s="1068">
        <f>F237-SUM(H237:N237)</f>
        <v>5915958</v>
      </c>
      <c r="H237" s="1068">
        <f>IF(H227=0,0,ROUND($F237/$F227*H227,0))</f>
        <v>3775939</v>
      </c>
      <c r="I237" s="1068">
        <f t="shared" ref="H237:N239" si="127">IF(I227=0,0,ROUND($F237/$F227*I227,0))</f>
        <v>18468968</v>
      </c>
      <c r="J237" s="1068">
        <f t="shared" si="127"/>
        <v>0</v>
      </c>
      <c r="K237" s="1068">
        <f t="shared" si="127"/>
        <v>0</v>
      </c>
      <c r="L237" s="1068">
        <f t="shared" si="127"/>
        <v>0</v>
      </c>
      <c r="M237" s="1068">
        <f t="shared" si="127"/>
        <v>0</v>
      </c>
      <c r="N237" s="1069">
        <f t="shared" si="127"/>
        <v>0</v>
      </c>
    </row>
    <row r="238" spans="1:14" s="889" customFormat="1" ht="13.5" customHeight="1">
      <c r="A238" s="1285"/>
      <c r="B238" s="2758" t="s">
        <v>2664</v>
      </c>
      <c r="C238" s="903" t="s">
        <v>2665</v>
      </c>
      <c r="D238" s="1193">
        <f t="shared" si="126"/>
        <v>0.05</v>
      </c>
      <c r="E238" s="1104">
        <f t="shared" si="126"/>
        <v>0.1193</v>
      </c>
      <c r="F238" s="904">
        <f>INT(D238*E238*F228)</f>
        <v>1408043</v>
      </c>
      <c r="G238" s="905">
        <f>F238-SUM(H238:N238)</f>
        <v>295798</v>
      </c>
      <c r="H238" s="905">
        <f t="shared" si="127"/>
        <v>188797</v>
      </c>
      <c r="I238" s="905">
        <f t="shared" si="127"/>
        <v>923448</v>
      </c>
      <c r="J238" s="905">
        <f t="shared" si="127"/>
        <v>0</v>
      </c>
      <c r="K238" s="905">
        <f t="shared" si="127"/>
        <v>0</v>
      </c>
      <c r="L238" s="905">
        <f t="shared" si="127"/>
        <v>0</v>
      </c>
      <c r="M238" s="905">
        <f t="shared" si="127"/>
        <v>0</v>
      </c>
      <c r="N238" s="906">
        <f t="shared" si="127"/>
        <v>0</v>
      </c>
    </row>
    <row r="239" spans="1:14" s="889" customFormat="1" ht="13.5" customHeight="1">
      <c r="A239" s="1285"/>
      <c r="B239" s="2757"/>
      <c r="C239" s="903" t="s">
        <v>2666</v>
      </c>
      <c r="D239" s="1193">
        <f t="shared" si="126"/>
        <v>1</v>
      </c>
      <c r="E239" s="1104">
        <f t="shared" si="126"/>
        <v>4.0000000000000002E-4</v>
      </c>
      <c r="F239" s="904">
        <f>INT(D239*E239*F229)</f>
        <v>94420</v>
      </c>
      <c r="G239" s="905">
        <f>F239-SUM(H239:N239)</f>
        <v>19836</v>
      </c>
      <c r="H239" s="905">
        <f>IF(H229=0,0,ROUND($F239/$F229*H229,0))</f>
        <v>12660</v>
      </c>
      <c r="I239" s="905">
        <f t="shared" si="127"/>
        <v>61924</v>
      </c>
      <c r="J239" s="905">
        <f t="shared" si="127"/>
        <v>0</v>
      </c>
      <c r="K239" s="905">
        <f t="shared" si="127"/>
        <v>0</v>
      </c>
      <c r="L239" s="905">
        <f t="shared" si="127"/>
        <v>0</v>
      </c>
      <c r="M239" s="905">
        <f t="shared" si="127"/>
        <v>0</v>
      </c>
      <c r="N239" s="906">
        <f t="shared" si="127"/>
        <v>0</v>
      </c>
    </row>
    <row r="240" spans="1:14" s="889" customFormat="1" ht="13.5" customHeight="1">
      <c r="A240" s="1285"/>
      <c r="B240" s="1191"/>
      <c r="C240" s="903"/>
      <c r="D240" s="1192"/>
      <c r="E240" s="1192"/>
      <c r="F240" s="904"/>
      <c r="G240" s="905"/>
      <c r="H240" s="905"/>
      <c r="I240" s="905"/>
      <c r="J240" s="905"/>
      <c r="K240" s="905"/>
      <c r="L240" s="905"/>
      <c r="M240" s="905"/>
      <c r="N240" s="906"/>
    </row>
    <row r="241" spans="1:14" s="889" customFormat="1" ht="13.5" customHeight="1">
      <c r="A241" s="1285"/>
      <c r="B241" s="1191"/>
      <c r="C241" s="903"/>
      <c r="D241" s="1192"/>
      <c r="E241" s="1192"/>
      <c r="F241" s="904"/>
      <c r="G241" s="905"/>
      <c r="H241" s="905"/>
      <c r="I241" s="905"/>
      <c r="J241" s="905"/>
      <c r="K241" s="905"/>
      <c r="L241" s="905"/>
      <c r="M241" s="905"/>
      <c r="N241" s="906"/>
    </row>
    <row r="242" spans="1:14" s="889" customFormat="1" ht="13.5" customHeight="1">
      <c r="A242" s="1285"/>
      <c r="B242" s="2758" t="s">
        <v>2667</v>
      </c>
      <c r="C242" s="1101" t="str">
        <f>+C136</f>
        <v>(17)下水道使用料、各種負担金（共通仮設）</v>
      </c>
      <c r="D242" s="1193">
        <f>+D232</f>
        <v>1</v>
      </c>
      <c r="E242" s="1104">
        <f>+E232</f>
        <v>0</v>
      </c>
      <c r="F242" s="904">
        <f>INT(D242*E242*F232)</f>
        <v>0</v>
      </c>
      <c r="G242" s="905">
        <f>F242-SUM(H242:N242)</f>
        <v>0</v>
      </c>
      <c r="H242" s="905">
        <f t="shared" ref="H242:N242" si="128">IF(H232=0,0,ROUND($F242/$F232*H232,0))</f>
        <v>0</v>
      </c>
      <c r="I242" s="905">
        <f t="shared" si="128"/>
        <v>0</v>
      </c>
      <c r="J242" s="905">
        <f t="shared" si="128"/>
        <v>0</v>
      </c>
      <c r="K242" s="905">
        <f>IF(K232=0,0,ROUND($F242/$F232*K232,0))</f>
        <v>0</v>
      </c>
      <c r="L242" s="905">
        <f t="shared" si="128"/>
        <v>0</v>
      </c>
      <c r="M242" s="905">
        <f t="shared" si="128"/>
        <v>0</v>
      </c>
      <c r="N242" s="906">
        <f t="shared" si="128"/>
        <v>0</v>
      </c>
    </row>
    <row r="243" spans="1:14" s="889" customFormat="1" ht="13.5" customHeight="1">
      <c r="A243" s="1285"/>
      <c r="B243" s="2756"/>
      <c r="C243" s="1195"/>
      <c r="D243" s="1101"/>
      <c r="E243" s="1192">
        <f>+G234</f>
        <v>0</v>
      </c>
      <c r="F243" s="904"/>
      <c r="G243" s="905"/>
      <c r="H243" s="905"/>
      <c r="I243" s="905"/>
      <c r="J243" s="905"/>
      <c r="K243" s="905"/>
      <c r="L243" s="905"/>
      <c r="M243" s="905"/>
      <c r="N243" s="906"/>
    </row>
    <row r="244" spans="1:14" s="889" customFormat="1" ht="13.5" customHeight="1">
      <c r="A244" s="1206"/>
      <c r="B244" s="2757"/>
      <c r="C244" s="1195"/>
      <c r="D244" s="1101"/>
      <c r="E244" s="1192">
        <f>+G235</f>
        <v>0</v>
      </c>
      <c r="F244" s="904"/>
      <c r="G244" s="905"/>
      <c r="H244" s="905"/>
      <c r="I244" s="905"/>
      <c r="J244" s="905"/>
      <c r="K244" s="905"/>
      <c r="L244" s="905"/>
      <c r="M244" s="905"/>
      <c r="N244" s="906"/>
    </row>
    <row r="245" spans="1:14" s="889" customFormat="1" ht="13.5" customHeight="1">
      <c r="A245" s="1206"/>
      <c r="B245" s="2794" t="s">
        <v>2650</v>
      </c>
      <c r="C245" s="1120" t="s">
        <v>2669</v>
      </c>
      <c r="D245" s="1207"/>
      <c r="E245" s="1208"/>
      <c r="F245" s="1209">
        <f>SUM(G245:N245)</f>
        <v>0</v>
      </c>
      <c r="G245" s="1210"/>
      <c r="H245" s="1210"/>
      <c r="I245" s="1210"/>
      <c r="J245" s="1210"/>
      <c r="K245" s="1210"/>
      <c r="L245" s="1210"/>
      <c r="M245" s="1210"/>
      <c r="N245" s="1211"/>
    </row>
    <row r="246" spans="1:14" s="889" customFormat="1" ht="13.5" customHeight="1">
      <c r="A246" s="1285"/>
      <c r="B246" s="2810"/>
      <c r="C246" s="1212" t="s">
        <v>2670</v>
      </c>
      <c r="D246" s="1147"/>
      <c r="E246" s="1148"/>
      <c r="F246" s="1055"/>
      <c r="G246" s="905"/>
      <c r="H246" s="905"/>
      <c r="I246" s="905"/>
      <c r="J246" s="905" t="s">
        <v>2671</v>
      </c>
      <c r="K246" s="905"/>
      <c r="L246" s="905"/>
      <c r="M246" s="905"/>
      <c r="N246" s="906"/>
    </row>
    <row r="247" spans="1:14" s="889" customFormat="1" ht="13.5" customHeight="1">
      <c r="A247" s="1171"/>
      <c r="B247" s="1172"/>
      <c r="C247" s="1172"/>
      <c r="D247" s="875"/>
      <c r="E247" s="875"/>
      <c r="F247" s="900"/>
      <c r="G247" s="1068"/>
      <c r="H247" s="1068"/>
      <c r="I247" s="1068"/>
      <c r="J247" s="1068"/>
      <c r="K247" s="1068"/>
      <c r="L247" s="1068"/>
      <c r="M247" s="1068"/>
      <c r="N247" s="1069"/>
    </row>
    <row r="248" spans="1:14" s="889" customFormat="1" ht="13.5" customHeight="1">
      <c r="A248" s="1213"/>
      <c r="B248" s="1073"/>
      <c r="C248" s="698" t="s">
        <v>2672</v>
      </c>
      <c r="D248" s="1195"/>
      <c r="E248" s="903"/>
      <c r="F248" s="904">
        <f>SUM(G248:N248)</f>
        <v>29663328</v>
      </c>
      <c r="G248" s="905">
        <f t="shared" ref="G248:N248" si="129">SUM(G237:G246)</f>
        <v>6231592</v>
      </c>
      <c r="H248" s="905">
        <f t="shared" si="129"/>
        <v>3977396</v>
      </c>
      <c r="I248" s="905">
        <f t="shared" si="129"/>
        <v>19454340</v>
      </c>
      <c r="J248" s="905">
        <f t="shared" si="129"/>
        <v>0</v>
      </c>
      <c r="K248" s="905">
        <f t="shared" si="129"/>
        <v>0</v>
      </c>
      <c r="L248" s="905">
        <f t="shared" si="129"/>
        <v>0</v>
      </c>
      <c r="M248" s="905">
        <f t="shared" si="129"/>
        <v>0</v>
      </c>
      <c r="N248" s="906">
        <f t="shared" si="129"/>
        <v>0</v>
      </c>
    </row>
    <row r="249" spans="1:14" s="889" customFormat="1" ht="13.5" customHeight="1">
      <c r="A249" s="1213"/>
      <c r="B249" s="1073"/>
      <c r="C249" s="698" t="s">
        <v>2653</v>
      </c>
      <c r="D249" s="1195"/>
      <c r="E249" s="903"/>
      <c r="F249" s="904">
        <f>SUM(G249:N249)</f>
        <v>236050839</v>
      </c>
      <c r="G249" s="905">
        <f t="shared" ref="G249:N249" si="130">+G216</f>
        <v>49588917</v>
      </c>
      <c r="H249" s="905">
        <f t="shared" si="130"/>
        <v>31650790</v>
      </c>
      <c r="I249" s="905">
        <f t="shared" si="130"/>
        <v>154811132</v>
      </c>
      <c r="J249" s="905">
        <f t="shared" si="130"/>
        <v>0</v>
      </c>
      <c r="K249" s="905">
        <f t="shared" si="130"/>
        <v>0</v>
      </c>
      <c r="L249" s="905">
        <f t="shared" si="130"/>
        <v>0</v>
      </c>
      <c r="M249" s="905">
        <f t="shared" si="130"/>
        <v>0</v>
      </c>
      <c r="N249" s="906">
        <f t="shared" si="130"/>
        <v>0</v>
      </c>
    </row>
    <row r="250" spans="1:14" s="889" customFormat="1" ht="13.5" customHeight="1" thickBot="1">
      <c r="A250" s="1214"/>
      <c r="B250" s="1215"/>
      <c r="C250" s="1216" t="s">
        <v>2673</v>
      </c>
      <c r="D250" s="1217"/>
      <c r="E250" s="1218"/>
      <c r="F250" s="1135">
        <f>SUM(G250:N250)</f>
        <v>265714167</v>
      </c>
      <c r="G250" s="1219">
        <f>SUM(G248:G249)</f>
        <v>55820509</v>
      </c>
      <c r="H250" s="1219">
        <f t="shared" ref="H250:N250" si="131">SUM(H248:H249)</f>
        <v>35628186</v>
      </c>
      <c r="I250" s="1219">
        <f t="shared" si="131"/>
        <v>174265472</v>
      </c>
      <c r="J250" s="1219">
        <f t="shared" si="131"/>
        <v>0</v>
      </c>
      <c r="K250" s="1219">
        <f>SUM(K248:K249)</f>
        <v>0</v>
      </c>
      <c r="L250" s="1219">
        <f t="shared" si="131"/>
        <v>0</v>
      </c>
      <c r="M250" s="1219">
        <f t="shared" si="131"/>
        <v>0</v>
      </c>
      <c r="N250" s="1220">
        <f t="shared" si="131"/>
        <v>0</v>
      </c>
    </row>
    <row r="251" spans="1:14" s="889" customFormat="1" ht="13.5" customHeight="1" thickTop="1">
      <c r="A251" s="1285"/>
      <c r="B251" s="1286"/>
      <c r="C251" s="1286"/>
      <c r="D251" s="918"/>
      <c r="E251" s="918"/>
      <c r="F251" s="919"/>
      <c r="G251" s="1221">
        <f t="shared" ref="G251:N251" si="132">ROUNDDOWN(G250,-3)</f>
        <v>55820000</v>
      </c>
      <c r="H251" s="1221">
        <f>ROUNDDOWN(H250,-3)</f>
        <v>35628000</v>
      </c>
      <c r="I251" s="1221">
        <f t="shared" si="132"/>
        <v>174265000</v>
      </c>
      <c r="J251" s="1221">
        <f t="shared" si="132"/>
        <v>0</v>
      </c>
      <c r="K251" s="1221">
        <f>ROUNDDOWN(K250,-3)</f>
        <v>0</v>
      </c>
      <c r="L251" s="1221">
        <f t="shared" si="132"/>
        <v>0</v>
      </c>
      <c r="M251" s="1221">
        <f t="shared" si="132"/>
        <v>0</v>
      </c>
      <c r="N251" s="1222">
        <f t="shared" si="132"/>
        <v>0</v>
      </c>
    </row>
    <row r="252" spans="1:14" s="889" customFormat="1" ht="13.5" customHeight="1">
      <c r="A252" s="1213"/>
      <c r="B252" s="1073"/>
      <c r="C252" s="698" t="s">
        <v>2653</v>
      </c>
      <c r="D252" s="1195"/>
      <c r="E252" s="903"/>
      <c r="F252" s="904">
        <f>SUM(G252:N252)</f>
        <v>236050839</v>
      </c>
      <c r="G252" s="905">
        <f t="shared" ref="G252:N252" si="133">+G249</f>
        <v>49588917</v>
      </c>
      <c r="H252" s="905">
        <f t="shared" si="133"/>
        <v>31650790</v>
      </c>
      <c r="I252" s="905">
        <f>+I249</f>
        <v>154811132</v>
      </c>
      <c r="J252" s="905">
        <f>+J249</f>
        <v>0</v>
      </c>
      <c r="K252" s="905">
        <f>+K249</f>
        <v>0</v>
      </c>
      <c r="L252" s="905">
        <f t="shared" si="133"/>
        <v>0</v>
      </c>
      <c r="M252" s="905">
        <f t="shared" si="133"/>
        <v>0</v>
      </c>
      <c r="N252" s="906">
        <f t="shared" si="133"/>
        <v>0</v>
      </c>
    </row>
    <row r="253" spans="1:14" s="889" customFormat="1" ht="13.5" customHeight="1">
      <c r="A253" s="1213"/>
      <c r="B253" s="1073"/>
      <c r="C253" s="698" t="s">
        <v>2674</v>
      </c>
      <c r="D253" s="1195"/>
      <c r="E253" s="1192"/>
      <c r="F253" s="904">
        <f>SUM(G253:N253)</f>
        <v>29649161</v>
      </c>
      <c r="G253" s="905">
        <f t="shared" ref="G253:N253" si="134">+G248-(G250-G255)</f>
        <v>6229083</v>
      </c>
      <c r="H253" s="905">
        <f>+H248-(H250-H255)</f>
        <v>3975210</v>
      </c>
      <c r="I253" s="905">
        <f t="shared" si="134"/>
        <v>19444868</v>
      </c>
      <c r="J253" s="905">
        <f>+J248-(J250-J255)</f>
        <v>0</v>
      </c>
      <c r="K253" s="905">
        <f>+K248-(K250-K255)</f>
        <v>0</v>
      </c>
      <c r="L253" s="905">
        <f t="shared" si="134"/>
        <v>0</v>
      </c>
      <c r="M253" s="905">
        <f t="shared" si="134"/>
        <v>0</v>
      </c>
      <c r="N253" s="906">
        <f t="shared" si="134"/>
        <v>0</v>
      </c>
    </row>
    <row r="254" spans="1:14" s="889" customFormat="1" ht="13.5" customHeight="1">
      <c r="A254" s="1213"/>
      <c r="B254" s="1073"/>
      <c r="C254" s="1073"/>
      <c r="D254" s="903"/>
      <c r="E254" s="1223">
        <f>SUM(G251:N251)</f>
        <v>265713000</v>
      </c>
      <c r="F254" s="904" t="s">
        <v>2675</v>
      </c>
      <c r="G254" s="905">
        <f t="shared" ref="G254:N254" si="135">+G248-G253</f>
        <v>2509</v>
      </c>
      <c r="H254" s="905">
        <f t="shared" si="135"/>
        <v>2186</v>
      </c>
      <c r="I254" s="905">
        <f t="shared" si="135"/>
        <v>9472</v>
      </c>
      <c r="J254" s="905">
        <f t="shared" si="135"/>
        <v>0</v>
      </c>
      <c r="K254" s="905">
        <f>+K248-K253</f>
        <v>0</v>
      </c>
      <c r="L254" s="905">
        <f t="shared" si="135"/>
        <v>0</v>
      </c>
      <c r="M254" s="1224">
        <f t="shared" si="135"/>
        <v>0</v>
      </c>
      <c r="N254" s="1225">
        <f t="shared" si="135"/>
        <v>0</v>
      </c>
    </row>
    <row r="255" spans="1:14" s="889" customFormat="1" ht="13.5" customHeight="1">
      <c r="A255" s="1226"/>
      <c r="B255" s="1054"/>
      <c r="C255" s="1054" t="s">
        <v>2676</v>
      </c>
      <c r="D255" s="1227"/>
      <c r="E255" s="1223">
        <f>ROUNDDOWN(E254,4-LEN(E254))</f>
        <v>265700000</v>
      </c>
      <c r="F255" s="1228">
        <f>+E255</f>
        <v>265700000</v>
      </c>
      <c r="G255" s="1224">
        <f>IF(F256+SUM(H255:N255)=F255,F256,F255-SUM(H255:N255))</f>
        <v>55818000</v>
      </c>
      <c r="H255" s="1224">
        <f t="shared" ref="H255:N255" si="136">IF(H245="",+H251-ROUND($E$256*H250/$F$250,-3),H250)</f>
        <v>35626000</v>
      </c>
      <c r="I255" s="1224">
        <f t="shared" si="136"/>
        <v>174256000</v>
      </c>
      <c r="J255" s="1224">
        <f t="shared" si="136"/>
        <v>0</v>
      </c>
      <c r="K255" s="1224">
        <f t="shared" si="136"/>
        <v>0</v>
      </c>
      <c r="L255" s="1224">
        <f t="shared" si="136"/>
        <v>0</v>
      </c>
      <c r="M255" s="1224">
        <f t="shared" si="136"/>
        <v>0</v>
      </c>
      <c r="N255" s="1225">
        <f t="shared" si="136"/>
        <v>0</v>
      </c>
    </row>
    <row r="256" spans="1:14" s="889" customFormat="1" ht="13.5" customHeight="1">
      <c r="A256" s="1229"/>
      <c r="B256" s="1230"/>
      <c r="C256" s="1230"/>
      <c r="D256" s="1231"/>
      <c r="E256" s="1232">
        <f>E254-E255</f>
        <v>13000</v>
      </c>
      <c r="F256" s="1233">
        <f>+G251-ROUND($E$256*G250/$F$250,-3)</f>
        <v>55817000</v>
      </c>
      <c r="G256" s="1232">
        <f t="shared" ref="G256:N256" si="137">IF(LEN(G250)&lt;=7,-3,IF(LEN(G250)=8,-4,IF(LEN(G250)&gt;=9,-5,-6)))</f>
        <v>-4</v>
      </c>
      <c r="H256" s="1232">
        <f t="shared" si="137"/>
        <v>-4</v>
      </c>
      <c r="I256" s="1232">
        <f t="shared" si="137"/>
        <v>-5</v>
      </c>
      <c r="J256" s="1232">
        <f>IF(LEN(J250)&lt;=7,-3,IF(LEN(J250)=8,-4,IF(LEN(J250)&gt;=9,-5,-6)))</f>
        <v>-3</v>
      </c>
      <c r="K256" s="1232">
        <f>IF(LEN(K250)&lt;=7,-3,IF(LEN(K250)=8,-4,IF(LEN(K250)&gt;=9,-5,-6)))</f>
        <v>-3</v>
      </c>
      <c r="L256" s="1232">
        <f t="shared" si="137"/>
        <v>-3</v>
      </c>
      <c r="M256" s="1232">
        <f t="shared" si="137"/>
        <v>-3</v>
      </c>
      <c r="N256" s="1234">
        <f t="shared" si="137"/>
        <v>-3</v>
      </c>
    </row>
    <row r="257" spans="1:14" s="889" customFormat="1" ht="13.5" customHeight="1">
      <c r="F257" s="1235"/>
      <c r="G257" s="1236"/>
      <c r="H257" s="1237"/>
      <c r="I257" s="1237"/>
      <c r="J257" s="1237"/>
      <c r="K257" s="1237"/>
      <c r="L257" s="1237"/>
      <c r="M257" s="1237"/>
      <c r="N257" s="1237"/>
    </row>
    <row r="258" spans="1:14" s="889" customFormat="1" ht="15" hidden="1" customHeight="1">
      <c r="A258" s="1238"/>
      <c r="B258" s="1239"/>
      <c r="C258" s="1240" t="s">
        <v>2677</v>
      </c>
      <c r="D258" s="1241"/>
      <c r="E258" s="1239"/>
      <c r="F258" s="1242" t="s">
        <v>2678</v>
      </c>
      <c r="G258" s="1243">
        <f t="shared" ref="G258:N258" si="138">+G84</f>
        <v>16.600000000000001</v>
      </c>
      <c r="H258" s="1243">
        <f t="shared" si="138"/>
        <v>11</v>
      </c>
      <c r="I258" s="1243">
        <f t="shared" si="138"/>
        <v>16.600000000000001</v>
      </c>
      <c r="J258" s="1243">
        <f t="shared" si="138"/>
        <v>0</v>
      </c>
      <c r="K258" s="1243">
        <f t="shared" si="138"/>
        <v>0</v>
      </c>
      <c r="L258" s="1243">
        <f t="shared" si="138"/>
        <v>0</v>
      </c>
      <c r="M258" s="1243">
        <f t="shared" si="138"/>
        <v>0</v>
      </c>
      <c r="N258" s="1244">
        <f t="shared" si="138"/>
        <v>0</v>
      </c>
    </row>
    <row r="259" spans="1:14" s="889" customFormat="1" ht="15" hidden="1" customHeight="1">
      <c r="A259" s="2802"/>
      <c r="B259" s="2805" t="s">
        <v>2679</v>
      </c>
      <c r="C259" s="1245" t="s">
        <v>2680</v>
      </c>
      <c r="D259" s="1054"/>
      <c r="E259" s="1246"/>
      <c r="F259" s="1247" t="s">
        <v>2681</v>
      </c>
      <c r="G259" s="1248">
        <f>IF($F141&lt;=10000000,ROUND(7.56*(10000^-0.1105)*(G258^0.2389),2),ROUND(7.56*(($F141/1000)^-0.1105)*(G258^0.2389),2))</f>
        <v>3.85</v>
      </c>
      <c r="H259" s="1248">
        <f>IF($F141&lt;=10000000,ROUND(7.56*(10000^-0.1105)*(H258^0.2389),2),ROUND(7.56*(($F141/1000)^-0.1105)*(H258^0.2389),2))</f>
        <v>3.49</v>
      </c>
      <c r="I259" s="1248">
        <f t="shared" ref="I259:N259" si="139">IF($F141&lt;=10000000,ROUND(7.56*(10000^-0.1105)*(I258^0.2389),2),ROUND(7.56*(($F141/1000)^-0.1105)*(I258^0.2389),2))</f>
        <v>3.85</v>
      </c>
      <c r="J259" s="1248">
        <f t="shared" si="139"/>
        <v>0</v>
      </c>
      <c r="K259" s="1248">
        <f t="shared" si="139"/>
        <v>0</v>
      </c>
      <c r="L259" s="1248">
        <f t="shared" si="139"/>
        <v>0</v>
      </c>
      <c r="M259" s="1248">
        <f t="shared" si="139"/>
        <v>0</v>
      </c>
      <c r="N259" s="1248">
        <f t="shared" si="139"/>
        <v>0</v>
      </c>
    </row>
    <row r="260" spans="1:14" s="889" customFormat="1" ht="15" hidden="1" customHeight="1">
      <c r="A260" s="2803"/>
      <c r="B260" s="2806"/>
      <c r="C260" s="2808" t="s">
        <v>2682</v>
      </c>
      <c r="D260" s="1124"/>
      <c r="E260" s="1249"/>
      <c r="F260" s="1247" t="s">
        <v>2683</v>
      </c>
      <c r="G260" s="1250">
        <f>IF($F141&lt;=10000000,ROUND(4.33,2),0)</f>
        <v>0</v>
      </c>
      <c r="H260" s="1250">
        <f t="shared" ref="H260:N260" si="140">IF($F141&lt;=10000000,ROUND(4.33,2),0)</f>
        <v>0</v>
      </c>
      <c r="I260" s="1250">
        <f t="shared" si="140"/>
        <v>0</v>
      </c>
      <c r="J260" s="1250">
        <f t="shared" si="140"/>
        <v>0</v>
      </c>
      <c r="K260" s="1250">
        <f t="shared" si="140"/>
        <v>0</v>
      </c>
      <c r="L260" s="1250">
        <f t="shared" si="140"/>
        <v>0</v>
      </c>
      <c r="M260" s="1250">
        <f t="shared" si="140"/>
        <v>0</v>
      </c>
      <c r="N260" s="1250">
        <f t="shared" si="140"/>
        <v>0</v>
      </c>
    </row>
    <row r="261" spans="1:14" s="889" customFormat="1" ht="15" hidden="1" customHeight="1">
      <c r="A261" s="2803"/>
      <c r="B261" s="2806"/>
      <c r="C261" s="2809"/>
      <c r="D261" s="1251"/>
      <c r="E261" s="1252"/>
      <c r="F261" s="1247" t="s">
        <v>2684</v>
      </c>
      <c r="G261" s="1250">
        <f>IF($F141&lt;=10000000,ROUND(3.25,2),0)</f>
        <v>0</v>
      </c>
      <c r="H261" s="1250">
        <f t="shared" ref="H261:N261" si="141">IF($F141&lt;=10000000,ROUND(3.25,2),0)</f>
        <v>0</v>
      </c>
      <c r="I261" s="1250">
        <f t="shared" si="141"/>
        <v>0</v>
      </c>
      <c r="J261" s="1250">
        <f t="shared" si="141"/>
        <v>0</v>
      </c>
      <c r="K261" s="1250">
        <f t="shared" si="141"/>
        <v>0</v>
      </c>
      <c r="L261" s="1250">
        <f t="shared" si="141"/>
        <v>0</v>
      </c>
      <c r="M261" s="1250">
        <f t="shared" si="141"/>
        <v>0</v>
      </c>
      <c r="N261" s="1250">
        <f t="shared" si="141"/>
        <v>0</v>
      </c>
    </row>
    <row r="262" spans="1:14" s="889" customFormat="1" ht="14.25" hidden="1" customHeight="1">
      <c r="A262" s="2803"/>
      <c r="B262" s="2806"/>
      <c r="C262" s="2808" t="s">
        <v>2685</v>
      </c>
      <c r="D262" s="1124"/>
      <c r="E262" s="1249"/>
      <c r="F262" s="1247" t="s">
        <v>2683</v>
      </c>
      <c r="G262" s="1253">
        <f>IF($F141&gt;10000000,ROUND(5.78*($F141/1000)^-0.0313,2),0)</f>
        <v>3.95</v>
      </c>
      <c r="H262" s="1253">
        <f t="shared" ref="H262:N262" si="142">IF($F141&gt;10000000,ROUND(5.78*($F141/1000)^-0.0313,2),0)</f>
        <v>3.95</v>
      </c>
      <c r="I262" s="1253">
        <f t="shared" si="142"/>
        <v>3.95</v>
      </c>
      <c r="J262" s="1253">
        <f t="shared" si="142"/>
        <v>3.95</v>
      </c>
      <c r="K262" s="1253">
        <f t="shared" si="142"/>
        <v>3.95</v>
      </c>
      <c r="L262" s="1253">
        <f t="shared" si="142"/>
        <v>3.95</v>
      </c>
      <c r="M262" s="1253">
        <f t="shared" si="142"/>
        <v>3.95</v>
      </c>
      <c r="N262" s="1253">
        <f t="shared" si="142"/>
        <v>3.95</v>
      </c>
    </row>
    <row r="263" spans="1:14" s="889" customFormat="1" ht="15" hidden="1" customHeight="1">
      <c r="A263" s="2804"/>
      <c r="B263" s="2807"/>
      <c r="C263" s="2809"/>
      <c r="D263" s="1251"/>
      <c r="E263" s="1252"/>
      <c r="F263" s="1247" t="s">
        <v>2684</v>
      </c>
      <c r="G263" s="1253">
        <f>IF($F141&gt;10000000,ROUND(4.34*($F141/1000)^-0.0313,2),0)</f>
        <v>2.96</v>
      </c>
      <c r="H263" s="1253">
        <f t="shared" ref="H263:N263" si="143">IF($F141&gt;10000000,ROUND(4.34*($F141/1000)^-0.0313,2),0)</f>
        <v>2.96</v>
      </c>
      <c r="I263" s="1253">
        <f t="shared" si="143"/>
        <v>2.96</v>
      </c>
      <c r="J263" s="1253">
        <f t="shared" si="143"/>
        <v>2.96</v>
      </c>
      <c r="K263" s="1253">
        <f t="shared" si="143"/>
        <v>2.96</v>
      </c>
      <c r="L263" s="1253">
        <f t="shared" si="143"/>
        <v>2.96</v>
      </c>
      <c r="M263" s="1253">
        <f t="shared" si="143"/>
        <v>2.96</v>
      </c>
      <c r="N263" s="1253">
        <f t="shared" si="143"/>
        <v>2.96</v>
      </c>
    </row>
    <row r="264" spans="1:14" s="889" customFormat="1" ht="15" hidden="1" customHeight="1">
      <c r="A264" s="2796" t="s">
        <v>2686</v>
      </c>
      <c r="B264" s="2797"/>
      <c r="C264" s="2797"/>
      <c r="D264" s="2797"/>
      <c r="E264" s="2797"/>
      <c r="F264" s="2798"/>
      <c r="G264" s="1253">
        <f>IF($F141&lt;=10000000,IF(G$259&gt;G$260,G$260,IF(G$259&lt;G$261,G$261,G$259)),IF(G$259&gt;G$262,G$262,IF(G$259&lt;G$263,G$263,G$259)))</f>
        <v>3.85</v>
      </c>
      <c r="H264" s="1253">
        <f t="shared" ref="H264:N264" si="144">IF($F141&lt;=10000000,IF(H$259&gt;H$260,H$260,IF(H$259&lt;H$261,H$261,H$259)),IF(H$259&gt;H$262,H$262,IF(H$259&lt;H$263,H$263,H$259)))</f>
        <v>3.49</v>
      </c>
      <c r="I264" s="1253">
        <f t="shared" si="144"/>
        <v>3.85</v>
      </c>
      <c r="J264" s="1253">
        <f t="shared" si="144"/>
        <v>2.96</v>
      </c>
      <c r="K264" s="1253">
        <f t="shared" si="144"/>
        <v>2.96</v>
      </c>
      <c r="L264" s="1253">
        <f t="shared" si="144"/>
        <v>2.96</v>
      </c>
      <c r="M264" s="1253">
        <f t="shared" si="144"/>
        <v>2.96</v>
      </c>
      <c r="N264" s="1253">
        <f t="shared" si="144"/>
        <v>2.96</v>
      </c>
    </row>
    <row r="265" spans="1:14" s="889" customFormat="1" ht="15" hidden="1" customHeight="1" thickBot="1">
      <c r="A265" s="2799" t="s">
        <v>2687</v>
      </c>
      <c r="B265" s="2800"/>
      <c r="C265" s="2800"/>
      <c r="D265" s="2800"/>
      <c r="E265" s="2800"/>
      <c r="F265" s="2801"/>
      <c r="G265" s="1254">
        <f>ROUND(G264*IF(AND(G89="駅施設",G90="無し"),0.7,IF(AND(G89="駅施設",G90="有り"),0.7,IF(AND(G89="地上建物",G90="無し"),0.9,IF(AND(G89="地上建物",G90="有り"),1,0)))),2)</f>
        <v>2.7</v>
      </c>
      <c r="H265" s="1254">
        <f t="shared" ref="H265:N265" si="145">ROUND(H264*IF(AND(H89="駅施設",H90="無し"),0.7,IF(AND(H89="駅施設",H90="有り"),0.7,IF(AND(H89="地上建物",H90="無し"),0.9,IF(AND(H89="地上建物",H90="有り"),1,0)))),2)</f>
        <v>2.44</v>
      </c>
      <c r="I265" s="1254">
        <f t="shared" si="145"/>
        <v>2.7</v>
      </c>
      <c r="J265" s="1254">
        <f t="shared" si="145"/>
        <v>2.0699999999999998</v>
      </c>
      <c r="K265" s="1254">
        <f t="shared" si="145"/>
        <v>2.0699999999999998</v>
      </c>
      <c r="L265" s="1254">
        <f t="shared" si="145"/>
        <v>2.0699999999999998</v>
      </c>
      <c r="M265" s="1254">
        <f t="shared" si="145"/>
        <v>2.0699999999999998</v>
      </c>
      <c r="N265" s="1254">
        <f t="shared" si="145"/>
        <v>2.0699999999999998</v>
      </c>
    </row>
    <row r="266" spans="1:14" s="889" customFormat="1" ht="15" hidden="1" customHeight="1" thickBot="1">
      <c r="G266" s="1255"/>
      <c r="H266" s="1255"/>
      <c r="I266" s="1255"/>
      <c r="J266" s="1255"/>
      <c r="K266" s="1255"/>
      <c r="L266" s="1255"/>
      <c r="M266" s="1255"/>
      <c r="N266" s="1255"/>
    </row>
    <row r="267" spans="1:14" s="889" customFormat="1" ht="15" hidden="1" customHeight="1">
      <c r="A267" s="1238"/>
      <c r="B267" s="1239"/>
      <c r="C267" s="1240" t="s">
        <v>2677</v>
      </c>
      <c r="D267" s="1241"/>
      <c r="E267" s="1239"/>
      <c r="F267" s="1242" t="s">
        <v>2678</v>
      </c>
      <c r="G267" s="1243">
        <f t="shared" ref="G267:N267" si="146">+G84</f>
        <v>16.600000000000001</v>
      </c>
      <c r="H267" s="1243">
        <f t="shared" si="146"/>
        <v>11</v>
      </c>
      <c r="I267" s="1243">
        <f t="shared" si="146"/>
        <v>16.600000000000001</v>
      </c>
      <c r="J267" s="1243">
        <f t="shared" si="146"/>
        <v>0</v>
      </c>
      <c r="K267" s="1243">
        <f t="shared" si="146"/>
        <v>0</v>
      </c>
      <c r="L267" s="1243">
        <f t="shared" si="146"/>
        <v>0</v>
      </c>
      <c r="M267" s="1243">
        <f t="shared" si="146"/>
        <v>0</v>
      </c>
      <c r="N267" s="1244">
        <f t="shared" si="146"/>
        <v>0</v>
      </c>
    </row>
    <row r="268" spans="1:14" s="889" customFormat="1" ht="15" hidden="1" customHeight="1">
      <c r="A268" s="2802"/>
      <c r="B268" s="2805" t="s">
        <v>2688</v>
      </c>
      <c r="C268" s="1245" t="s">
        <v>2680</v>
      </c>
      <c r="D268" s="1054"/>
      <c r="E268" s="1246"/>
      <c r="F268" s="1247" t="s">
        <v>2689</v>
      </c>
      <c r="G268" s="1248">
        <f>IF($F141&lt;=5000000,ROUND(18.03*(5000^-0.2027)*(G267^0.4017),2),ROUND(18.03*(($F141/1000)^-0.2027)*(G267^0.4017),2))</f>
        <v>4.71</v>
      </c>
      <c r="H268" s="1248">
        <f t="shared" ref="H268:N268" si="147">IF($F141&lt;=5000000,ROUND(18.03*(5000^-0.2027)*(H267^0.4017),2),ROUND(18.03*(($F141/1000)^-0.2027)*(H267^0.4017),2))</f>
        <v>3.99</v>
      </c>
      <c r="I268" s="1248">
        <f t="shared" si="147"/>
        <v>4.71</v>
      </c>
      <c r="J268" s="1248">
        <f t="shared" si="147"/>
        <v>0</v>
      </c>
      <c r="K268" s="1248">
        <f t="shared" si="147"/>
        <v>0</v>
      </c>
      <c r="L268" s="1248">
        <f t="shared" si="147"/>
        <v>0</v>
      </c>
      <c r="M268" s="1248">
        <f t="shared" si="147"/>
        <v>0</v>
      </c>
      <c r="N268" s="1248">
        <f t="shared" si="147"/>
        <v>0</v>
      </c>
    </row>
    <row r="269" spans="1:14" s="889" customFormat="1" ht="15" hidden="1" customHeight="1">
      <c r="A269" s="2803"/>
      <c r="B269" s="2806"/>
      <c r="C269" s="2808" t="s">
        <v>2690</v>
      </c>
      <c r="D269" s="1124"/>
      <c r="E269" s="1249"/>
      <c r="F269" s="1247" t="s">
        <v>2683</v>
      </c>
      <c r="G269" s="1250">
        <f>IF($F141&lt;=5000000,ROUND(6.07,2),0)</f>
        <v>0</v>
      </c>
      <c r="H269" s="1250">
        <f t="shared" ref="H269:N269" si="148">IF($F141&lt;=5000000,ROUND(6.07,2),0)</f>
        <v>0</v>
      </c>
      <c r="I269" s="1250">
        <f t="shared" si="148"/>
        <v>0</v>
      </c>
      <c r="J269" s="1250">
        <f t="shared" si="148"/>
        <v>0</v>
      </c>
      <c r="K269" s="1250">
        <f t="shared" si="148"/>
        <v>0</v>
      </c>
      <c r="L269" s="1250">
        <f t="shared" si="148"/>
        <v>0</v>
      </c>
      <c r="M269" s="1250">
        <f t="shared" si="148"/>
        <v>0</v>
      </c>
      <c r="N269" s="1250">
        <f t="shared" si="148"/>
        <v>0</v>
      </c>
    </row>
    <row r="270" spans="1:14" s="889" customFormat="1" ht="15" hidden="1" customHeight="1">
      <c r="A270" s="2803"/>
      <c r="B270" s="2806"/>
      <c r="C270" s="2809"/>
      <c r="D270" s="1251"/>
      <c r="E270" s="1252"/>
      <c r="F270" s="1247" t="s">
        <v>2684</v>
      </c>
      <c r="G270" s="1250">
        <f>IF($F141&lt;=5000000,ROUND(3.59,2),0)</f>
        <v>0</v>
      </c>
      <c r="H270" s="1250">
        <f t="shared" ref="H270:N270" si="149">IF($F141&lt;=5000000,ROUND(3.59,2),0)</f>
        <v>0</v>
      </c>
      <c r="I270" s="1250">
        <f t="shared" si="149"/>
        <v>0</v>
      </c>
      <c r="J270" s="1250">
        <f t="shared" si="149"/>
        <v>0</v>
      </c>
      <c r="K270" s="1250">
        <f t="shared" si="149"/>
        <v>0</v>
      </c>
      <c r="L270" s="1250">
        <f t="shared" si="149"/>
        <v>0</v>
      </c>
      <c r="M270" s="1250">
        <f t="shared" si="149"/>
        <v>0</v>
      </c>
      <c r="N270" s="1250">
        <f t="shared" si="149"/>
        <v>0</v>
      </c>
    </row>
    <row r="271" spans="1:14" s="889" customFormat="1" ht="15" hidden="1" customHeight="1">
      <c r="A271" s="2803"/>
      <c r="B271" s="2806"/>
      <c r="C271" s="2808" t="s">
        <v>2691</v>
      </c>
      <c r="D271" s="1124"/>
      <c r="E271" s="1249"/>
      <c r="F271" s="1247" t="s">
        <v>2683</v>
      </c>
      <c r="G271" s="1253">
        <f>IF($F141&gt;5000000,ROUND(11.74*($F141/1000)^-0.0774,2),0)</f>
        <v>4.57</v>
      </c>
      <c r="H271" s="1253">
        <f t="shared" ref="H271:N271" si="150">IF($F141&gt;5000000,ROUND(11.74*($F141/1000)^-0.0774,2),0)</f>
        <v>4.57</v>
      </c>
      <c r="I271" s="1253">
        <f t="shared" si="150"/>
        <v>4.57</v>
      </c>
      <c r="J271" s="1253">
        <f t="shared" si="150"/>
        <v>4.57</v>
      </c>
      <c r="K271" s="1253">
        <f t="shared" si="150"/>
        <v>4.57</v>
      </c>
      <c r="L271" s="1253">
        <f t="shared" si="150"/>
        <v>4.57</v>
      </c>
      <c r="M271" s="1253">
        <f t="shared" si="150"/>
        <v>4.57</v>
      </c>
      <c r="N271" s="1253">
        <f t="shared" si="150"/>
        <v>4.57</v>
      </c>
    </row>
    <row r="272" spans="1:14" s="889" customFormat="1" ht="15" hidden="1" customHeight="1">
      <c r="A272" s="2804"/>
      <c r="B272" s="2807"/>
      <c r="C272" s="2809"/>
      <c r="D272" s="1251"/>
      <c r="E272" s="1252"/>
      <c r="F272" s="1247" t="s">
        <v>2684</v>
      </c>
      <c r="G272" s="1253">
        <f>IF($F141&gt;5000000,ROUND(6.94*($F141/1000)^-0.0774,2),0)</f>
        <v>2.7</v>
      </c>
      <c r="H272" s="1253">
        <f t="shared" ref="H272:N272" si="151">IF($F141&gt;5000000,ROUND(6.94*($F141/1000)^-0.0774,2),0)</f>
        <v>2.7</v>
      </c>
      <c r="I272" s="1253">
        <f t="shared" si="151"/>
        <v>2.7</v>
      </c>
      <c r="J272" s="1253">
        <f t="shared" si="151"/>
        <v>2.7</v>
      </c>
      <c r="K272" s="1253">
        <f t="shared" si="151"/>
        <v>2.7</v>
      </c>
      <c r="L272" s="1253">
        <f t="shared" si="151"/>
        <v>2.7</v>
      </c>
      <c r="M272" s="1253">
        <f t="shared" si="151"/>
        <v>2.7</v>
      </c>
      <c r="N272" s="1253">
        <f t="shared" si="151"/>
        <v>2.7</v>
      </c>
    </row>
    <row r="273" spans="1:14" s="889" customFormat="1" ht="15" hidden="1" customHeight="1">
      <c r="A273" s="2796" t="s">
        <v>2686</v>
      </c>
      <c r="B273" s="2797"/>
      <c r="C273" s="2797"/>
      <c r="D273" s="2797"/>
      <c r="E273" s="2797"/>
      <c r="F273" s="2798"/>
      <c r="G273" s="1256">
        <f>IF($F141&lt;=5000000,IF(G$268&gt;G$269,G$269,IF(G$268&lt;G$270,G$270,G$268)),IF(G$268&gt;G$271,G$271,IF(G$268&lt;G$272,G$272,G$268)))</f>
        <v>4.57</v>
      </c>
      <c r="H273" s="1256">
        <f t="shared" ref="H273:N273" si="152">IF($F141&lt;=5000000,IF(H$268&gt;H$269,H$269,IF(H$268&lt;H$270,H$270,H$268)),IF(H$268&gt;H$271,H$271,IF(H$268&lt;H$272,H$272,H$268)))</f>
        <v>3.99</v>
      </c>
      <c r="I273" s="1256">
        <f t="shared" si="152"/>
        <v>4.57</v>
      </c>
      <c r="J273" s="1256">
        <f t="shared" si="152"/>
        <v>2.7</v>
      </c>
      <c r="K273" s="1256">
        <f t="shared" si="152"/>
        <v>2.7</v>
      </c>
      <c r="L273" s="1256">
        <f t="shared" si="152"/>
        <v>2.7</v>
      </c>
      <c r="M273" s="1256">
        <f t="shared" si="152"/>
        <v>2.7</v>
      </c>
      <c r="N273" s="1256">
        <f t="shared" si="152"/>
        <v>2.7</v>
      </c>
    </row>
    <row r="274" spans="1:14" s="889" customFormat="1" ht="15" hidden="1" customHeight="1" thickBot="1">
      <c r="A274" s="2799" t="s">
        <v>2687</v>
      </c>
      <c r="B274" s="2800"/>
      <c r="C274" s="2800"/>
      <c r="D274" s="2800"/>
      <c r="E274" s="2800"/>
      <c r="F274" s="2801"/>
      <c r="G274" s="1254">
        <f>ROUND(G273*IF(AND(G89="駅施設",G90="無し"),0.7,IF(AND(G89="駅施設",G90="有り"),0.7,IF(AND(G89="地上建物",G90="無し"),0.9,IF(AND(G89="地上建物",G90="有り"),1,0)))),2)</f>
        <v>3.2</v>
      </c>
      <c r="H274" s="1254">
        <f t="shared" ref="H274:N274" si="153">ROUND(H273*IF(AND(H89="駅施設",H90="無し"),0.7,IF(AND(H89="駅施設",H90="有り"),0.7,IF(AND(H89="地上建物",H90="無し"),0.9,IF(AND(H89="地上建物",H90="有り"),1,0)))),2)</f>
        <v>2.79</v>
      </c>
      <c r="I274" s="1254">
        <f t="shared" si="153"/>
        <v>3.2</v>
      </c>
      <c r="J274" s="1254">
        <f t="shared" si="153"/>
        <v>1.89</v>
      </c>
      <c r="K274" s="1254">
        <f t="shared" si="153"/>
        <v>1.89</v>
      </c>
      <c r="L274" s="1254">
        <f t="shared" si="153"/>
        <v>1.89</v>
      </c>
      <c r="M274" s="1254">
        <f t="shared" si="153"/>
        <v>1.89</v>
      </c>
      <c r="N274" s="1254">
        <f t="shared" si="153"/>
        <v>1.89</v>
      </c>
    </row>
    <row r="275" spans="1:14" s="889" customFormat="1" ht="15" hidden="1" customHeight="1" thickBot="1">
      <c r="G275" s="1237"/>
      <c r="H275" s="1237"/>
      <c r="I275" s="1237"/>
      <c r="J275" s="1237"/>
      <c r="K275" s="1237"/>
      <c r="L275" s="1237"/>
      <c r="M275" s="1237"/>
      <c r="N275" s="1237"/>
    </row>
    <row r="276" spans="1:14" s="889" customFormat="1" ht="15" hidden="1" customHeight="1">
      <c r="A276" s="1238"/>
      <c r="B276" s="1239"/>
      <c r="C276" s="1240" t="s">
        <v>2692</v>
      </c>
      <c r="D276" s="1241"/>
      <c r="E276" s="1239"/>
      <c r="F276" s="1242" t="s">
        <v>2678</v>
      </c>
      <c r="G276" s="1243">
        <f>+G284</f>
        <v>16.600000000000001</v>
      </c>
      <c r="H276" s="1243">
        <f t="shared" ref="H276:N276" si="154">+H284</f>
        <v>11</v>
      </c>
      <c r="I276" s="1243">
        <f t="shared" si="154"/>
        <v>16.600000000000001</v>
      </c>
      <c r="J276" s="1243">
        <f t="shared" si="154"/>
        <v>0</v>
      </c>
      <c r="K276" s="1243">
        <f>+K284</f>
        <v>0</v>
      </c>
      <c r="L276" s="1243">
        <f t="shared" si="154"/>
        <v>0</v>
      </c>
      <c r="M276" s="1243">
        <f t="shared" si="154"/>
        <v>0</v>
      </c>
      <c r="N276" s="1244">
        <f t="shared" si="154"/>
        <v>0</v>
      </c>
    </row>
    <row r="277" spans="1:14" s="889" customFormat="1" ht="15" hidden="1" customHeight="1">
      <c r="A277" s="2802"/>
      <c r="B277" s="2805" t="s">
        <v>2679</v>
      </c>
      <c r="C277" s="1245" t="s">
        <v>2693</v>
      </c>
      <c r="D277" s="1054"/>
      <c r="E277" s="1246"/>
      <c r="F277" s="1247" t="s">
        <v>2694</v>
      </c>
      <c r="G277" s="1248">
        <f>IF($F180&lt;=10000000,ROUND(151.08*((10000)^-0.3396)*(G276^0.586),2),ROUND(151.08*(($F180/1000)^-0.3396)*(G276^0.586),2))</f>
        <v>12.17</v>
      </c>
      <c r="H277" s="1248">
        <f t="shared" ref="H277:N277" si="155">IF($F180&lt;=10000000,ROUND(151.08*((10000)^-0.3396)*(H276^0.586),2),ROUND(151.08*(($F180/1000)^-0.3396)*(H276^0.586),2))</f>
        <v>9.56</v>
      </c>
      <c r="I277" s="1248">
        <f t="shared" si="155"/>
        <v>12.17</v>
      </c>
      <c r="J277" s="1248">
        <f t="shared" si="155"/>
        <v>0</v>
      </c>
      <c r="K277" s="1248">
        <f t="shared" si="155"/>
        <v>0</v>
      </c>
      <c r="L277" s="1248">
        <f t="shared" si="155"/>
        <v>0</v>
      </c>
      <c r="M277" s="1248">
        <f t="shared" si="155"/>
        <v>0</v>
      </c>
      <c r="N277" s="1248">
        <f t="shared" si="155"/>
        <v>0</v>
      </c>
    </row>
    <row r="278" spans="1:14" s="889" customFormat="1" ht="15" hidden="1" customHeight="1">
      <c r="A278" s="2803"/>
      <c r="B278" s="2806"/>
      <c r="C278" s="2808" t="s">
        <v>2695</v>
      </c>
      <c r="D278" s="1124"/>
      <c r="E278" s="1249"/>
      <c r="F278" s="1247" t="s">
        <v>2683</v>
      </c>
      <c r="G278" s="1250">
        <f>IF($F180&lt;=10000000,ROUND(20.13,2),0)</f>
        <v>0</v>
      </c>
      <c r="H278" s="1250">
        <f t="shared" ref="H278:N278" si="156">IF($F180&lt;=10000000,ROUND(20.13,2),0)</f>
        <v>0</v>
      </c>
      <c r="I278" s="1250">
        <f t="shared" si="156"/>
        <v>0</v>
      </c>
      <c r="J278" s="1250">
        <f t="shared" si="156"/>
        <v>0</v>
      </c>
      <c r="K278" s="1250">
        <f t="shared" si="156"/>
        <v>0</v>
      </c>
      <c r="L278" s="1250">
        <f t="shared" si="156"/>
        <v>0</v>
      </c>
      <c r="M278" s="1250">
        <f t="shared" si="156"/>
        <v>0</v>
      </c>
      <c r="N278" s="1250">
        <f t="shared" si="156"/>
        <v>0</v>
      </c>
    </row>
    <row r="279" spans="1:14" s="889" customFormat="1" ht="15" hidden="1" customHeight="1">
      <c r="A279" s="2803"/>
      <c r="B279" s="2806"/>
      <c r="C279" s="2809"/>
      <c r="D279" s="1251"/>
      <c r="E279" s="1252"/>
      <c r="F279" s="1247" t="s">
        <v>2684</v>
      </c>
      <c r="G279" s="1250">
        <f>IF($F180&lt;=10000000,ROUND(10.01,2),0)</f>
        <v>0</v>
      </c>
      <c r="H279" s="1250">
        <f t="shared" ref="H279:N279" si="157">IF($F180&lt;=10000000,ROUND(10.01,2),0)</f>
        <v>0</v>
      </c>
      <c r="I279" s="1250">
        <f t="shared" si="157"/>
        <v>0</v>
      </c>
      <c r="J279" s="1250">
        <f t="shared" si="157"/>
        <v>0</v>
      </c>
      <c r="K279" s="1250">
        <f t="shared" si="157"/>
        <v>0</v>
      </c>
      <c r="L279" s="1250">
        <f t="shared" si="157"/>
        <v>0</v>
      </c>
      <c r="M279" s="1250">
        <f t="shared" si="157"/>
        <v>0</v>
      </c>
      <c r="N279" s="1250">
        <f t="shared" si="157"/>
        <v>0</v>
      </c>
    </row>
    <row r="280" spans="1:14" s="889" customFormat="1" ht="15" hidden="1" customHeight="1">
      <c r="A280" s="2803"/>
      <c r="B280" s="2806"/>
      <c r="C280" s="2808" t="s">
        <v>2696</v>
      </c>
      <c r="D280" s="1124"/>
      <c r="E280" s="1249"/>
      <c r="F280" s="1247" t="s">
        <v>2683</v>
      </c>
      <c r="G280" s="1253">
        <f>IF($F180&gt;10000000,ROUND(75.97*($F180/1000)^-0.1442,2),0)</f>
        <v>12.96</v>
      </c>
      <c r="H280" s="1253">
        <f t="shared" ref="H280:N280" si="158">IF($F180&gt;10000000,ROUND(75.97*($F180/1000)^-0.1442,2),0)</f>
        <v>12.96</v>
      </c>
      <c r="I280" s="1253">
        <f t="shared" si="158"/>
        <v>12.96</v>
      </c>
      <c r="J280" s="1253">
        <f t="shared" si="158"/>
        <v>12.96</v>
      </c>
      <c r="K280" s="1253">
        <f t="shared" si="158"/>
        <v>12.96</v>
      </c>
      <c r="L280" s="1253">
        <f t="shared" si="158"/>
        <v>12.96</v>
      </c>
      <c r="M280" s="1253">
        <f t="shared" si="158"/>
        <v>12.96</v>
      </c>
      <c r="N280" s="1253">
        <f t="shared" si="158"/>
        <v>12.96</v>
      </c>
    </row>
    <row r="281" spans="1:14" s="889" customFormat="1" ht="15" hidden="1" customHeight="1">
      <c r="A281" s="2804"/>
      <c r="B281" s="2807"/>
      <c r="C281" s="2809"/>
      <c r="D281" s="1251"/>
      <c r="E281" s="1252"/>
      <c r="F281" s="1247" t="s">
        <v>2684</v>
      </c>
      <c r="G281" s="1253">
        <f>IF($F180&gt;10000000,ROUND(37.76*($F180/1000)^-0.1442,2),0)</f>
        <v>6.44</v>
      </c>
      <c r="H281" s="1253">
        <f t="shared" ref="H281:N281" si="159">IF($F180&gt;10000000,ROUND(37.76*($F180/1000)^-0.1442,2),0)</f>
        <v>6.44</v>
      </c>
      <c r="I281" s="1253">
        <f t="shared" si="159"/>
        <v>6.44</v>
      </c>
      <c r="J281" s="1253">
        <f t="shared" si="159"/>
        <v>6.44</v>
      </c>
      <c r="K281" s="1253">
        <f t="shared" si="159"/>
        <v>6.44</v>
      </c>
      <c r="L281" s="1253">
        <f t="shared" si="159"/>
        <v>6.44</v>
      </c>
      <c r="M281" s="1253">
        <f t="shared" si="159"/>
        <v>6.44</v>
      </c>
      <c r="N281" s="1253">
        <f t="shared" si="159"/>
        <v>6.44</v>
      </c>
    </row>
    <row r="282" spans="1:14" s="889" customFormat="1" ht="15" hidden="1" customHeight="1" thickBot="1">
      <c r="A282" s="2811" t="s">
        <v>2697</v>
      </c>
      <c r="B282" s="2812"/>
      <c r="C282" s="2812"/>
      <c r="D282" s="2812"/>
      <c r="E282" s="1257"/>
      <c r="F282" s="1258"/>
      <c r="G282" s="1259">
        <f>IF($F180&lt;=10000000,IF(G$277&gt;G$278,G$278,IF(G$277&lt;G$279,G$279,G$277)),IF(G$277&gt;G$280,G$280,IF(G$277&lt;G$281,G$281,G$277)))</f>
        <v>12.17</v>
      </c>
      <c r="H282" s="1259">
        <f t="shared" ref="H282:N282" si="160">IF($F180&lt;=10000000,IF(H$277&gt;H$278,H$278,IF(H$277&lt;H$279,H$279,H$277)),IF(H$277&gt;H$280,H$280,IF(H$277&lt;H$281,H$281,H$277)))</f>
        <v>9.56</v>
      </c>
      <c r="I282" s="1259">
        <f t="shared" si="160"/>
        <v>12.17</v>
      </c>
      <c r="J282" s="1259">
        <f t="shared" si="160"/>
        <v>6.44</v>
      </c>
      <c r="K282" s="1259">
        <f t="shared" si="160"/>
        <v>6.44</v>
      </c>
      <c r="L282" s="1259">
        <f t="shared" si="160"/>
        <v>6.44</v>
      </c>
      <c r="M282" s="1259">
        <f t="shared" si="160"/>
        <v>6.44</v>
      </c>
      <c r="N282" s="1259">
        <f t="shared" si="160"/>
        <v>6.44</v>
      </c>
    </row>
    <row r="283" spans="1:14" s="889" customFormat="1" ht="15" hidden="1" customHeight="1" thickBot="1">
      <c r="G283" s="1255"/>
      <c r="H283" s="1255"/>
      <c r="I283" s="1255"/>
      <c r="J283" s="1255"/>
      <c r="K283" s="1255"/>
      <c r="L283" s="1255"/>
      <c r="M283" s="1255"/>
      <c r="N283" s="1255"/>
    </row>
    <row r="284" spans="1:14" s="889" customFormat="1" ht="15" hidden="1" customHeight="1">
      <c r="A284" s="1238"/>
      <c r="B284" s="1239"/>
      <c r="C284" s="1240" t="s">
        <v>2692</v>
      </c>
      <c r="D284" s="1241"/>
      <c r="E284" s="1239"/>
      <c r="F284" s="1242" t="s">
        <v>2678</v>
      </c>
      <c r="G284" s="1243">
        <f t="shared" ref="G284:N284" si="161">+G84</f>
        <v>16.600000000000001</v>
      </c>
      <c r="H284" s="1243">
        <f t="shared" si="161"/>
        <v>11</v>
      </c>
      <c r="I284" s="1243">
        <f t="shared" si="161"/>
        <v>16.600000000000001</v>
      </c>
      <c r="J284" s="1243">
        <f t="shared" si="161"/>
        <v>0</v>
      </c>
      <c r="K284" s="1243">
        <f t="shared" si="161"/>
        <v>0</v>
      </c>
      <c r="L284" s="1243">
        <f t="shared" si="161"/>
        <v>0</v>
      </c>
      <c r="M284" s="1243">
        <f t="shared" si="161"/>
        <v>0</v>
      </c>
      <c r="N284" s="1244">
        <f t="shared" si="161"/>
        <v>0</v>
      </c>
    </row>
    <row r="285" spans="1:14" s="889" customFormat="1" ht="15" hidden="1" customHeight="1">
      <c r="A285" s="2802"/>
      <c r="B285" s="2805" t="s">
        <v>2688</v>
      </c>
      <c r="C285" s="1245" t="s">
        <v>2693</v>
      </c>
      <c r="D285" s="1054"/>
      <c r="E285" s="1246"/>
      <c r="F285" s="1247" t="s">
        <v>2694</v>
      </c>
      <c r="G285" s="1248">
        <f>IF($F180&lt;=5000000,ROUND(356.2*((5000)^-0.4085)*(G284^0.5766),2),ROUND(356.2*(($F180/1000)^-0.4085)*(G284^0.5766),2))</f>
        <v>12</v>
      </c>
      <c r="H285" s="1248">
        <f t="shared" ref="H285:N285" si="162">IF($F180&lt;=5000000,ROUND(356.2*((5000)^-0.4085)*(H284^0.5766),2),ROUND(356.2*(($F180/1000)^-0.4085)*(H284^0.5766),2))</f>
        <v>9.4700000000000006</v>
      </c>
      <c r="I285" s="1248">
        <f t="shared" si="162"/>
        <v>12</v>
      </c>
      <c r="J285" s="1248">
        <f t="shared" si="162"/>
        <v>0</v>
      </c>
      <c r="K285" s="1248">
        <f t="shared" si="162"/>
        <v>0</v>
      </c>
      <c r="L285" s="1248">
        <f t="shared" si="162"/>
        <v>0</v>
      </c>
      <c r="M285" s="1248">
        <f t="shared" si="162"/>
        <v>0</v>
      </c>
      <c r="N285" s="1248">
        <f t="shared" si="162"/>
        <v>0</v>
      </c>
    </row>
    <row r="286" spans="1:14" s="889" customFormat="1" ht="15" hidden="1" customHeight="1">
      <c r="A286" s="2803"/>
      <c r="B286" s="2806"/>
      <c r="C286" s="2808" t="s">
        <v>2698</v>
      </c>
      <c r="D286" s="1124"/>
      <c r="E286" s="1249"/>
      <c r="F286" s="1247" t="s">
        <v>2683</v>
      </c>
      <c r="G286" s="1250">
        <f>IF($F180&lt;=5000000,ROUND(26.86,2),0)</f>
        <v>0</v>
      </c>
      <c r="H286" s="1250">
        <f t="shared" ref="H286:N286" si="163">IF($F180&lt;=5000000,ROUND(26.86,2),0)</f>
        <v>0</v>
      </c>
      <c r="I286" s="1250">
        <f t="shared" si="163"/>
        <v>0</v>
      </c>
      <c r="J286" s="1250">
        <f t="shared" si="163"/>
        <v>0</v>
      </c>
      <c r="K286" s="1250">
        <f t="shared" si="163"/>
        <v>0</v>
      </c>
      <c r="L286" s="1250">
        <f t="shared" si="163"/>
        <v>0</v>
      </c>
      <c r="M286" s="1250">
        <f t="shared" si="163"/>
        <v>0</v>
      </c>
      <c r="N286" s="1250">
        <f t="shared" si="163"/>
        <v>0</v>
      </c>
    </row>
    <row r="287" spans="1:14" s="889" customFormat="1" ht="15" hidden="1" customHeight="1">
      <c r="A287" s="2803"/>
      <c r="B287" s="2806"/>
      <c r="C287" s="2809"/>
      <c r="D287" s="1251"/>
      <c r="E287" s="1252"/>
      <c r="F287" s="1247" t="s">
        <v>2684</v>
      </c>
      <c r="G287" s="1250">
        <f>IF($F180&lt;=5000000,ROUND(12.7,2),0)</f>
        <v>0</v>
      </c>
      <c r="H287" s="1250">
        <f t="shared" ref="H287:N287" si="164">IF($F180&lt;=5000000,ROUND(12.7,2),0)</f>
        <v>0</v>
      </c>
      <c r="I287" s="1250">
        <f t="shared" si="164"/>
        <v>0</v>
      </c>
      <c r="J287" s="1250">
        <f t="shared" si="164"/>
        <v>0</v>
      </c>
      <c r="K287" s="1250">
        <f t="shared" si="164"/>
        <v>0</v>
      </c>
      <c r="L287" s="1250">
        <f t="shared" si="164"/>
        <v>0</v>
      </c>
      <c r="M287" s="1250">
        <f t="shared" si="164"/>
        <v>0</v>
      </c>
      <c r="N287" s="1250">
        <f t="shared" si="164"/>
        <v>0</v>
      </c>
    </row>
    <row r="288" spans="1:14" s="889" customFormat="1" ht="15" hidden="1" customHeight="1">
      <c r="A288" s="2803"/>
      <c r="B288" s="2806"/>
      <c r="C288" s="2808" t="s">
        <v>2699</v>
      </c>
      <c r="D288" s="1124"/>
      <c r="E288" s="1249"/>
      <c r="F288" s="1247" t="s">
        <v>2683</v>
      </c>
      <c r="G288" s="1253">
        <f>IF($F180&gt;5000000,ROUND(184.58*($F180/1000)^-0.2263,2),0)</f>
        <v>11.5</v>
      </c>
      <c r="H288" s="1253">
        <f t="shared" ref="H288:N288" si="165">IF($F180&gt;5000000,ROUND(184.58*($F180/1000)^-0.2263,2),0)</f>
        <v>11.5</v>
      </c>
      <c r="I288" s="1253">
        <f t="shared" si="165"/>
        <v>11.5</v>
      </c>
      <c r="J288" s="1253">
        <f t="shared" si="165"/>
        <v>11.5</v>
      </c>
      <c r="K288" s="1253">
        <f t="shared" si="165"/>
        <v>11.5</v>
      </c>
      <c r="L288" s="1253">
        <f t="shared" si="165"/>
        <v>11.5</v>
      </c>
      <c r="M288" s="1253">
        <f t="shared" si="165"/>
        <v>11.5</v>
      </c>
      <c r="N288" s="1253">
        <f t="shared" si="165"/>
        <v>11.5</v>
      </c>
    </row>
    <row r="289" spans="1:14" s="889" customFormat="1" ht="15" hidden="1" customHeight="1">
      <c r="A289" s="2804"/>
      <c r="B289" s="2807"/>
      <c r="C289" s="2809"/>
      <c r="D289" s="1251"/>
      <c r="E289" s="1252"/>
      <c r="F289" s="1247" t="s">
        <v>2684</v>
      </c>
      <c r="G289" s="1253">
        <f>IF($F180&gt;5000000,ROUND(87.29*($F180/1000)^-0.2263,2),0)</f>
        <v>5.44</v>
      </c>
      <c r="H289" s="1253">
        <f t="shared" ref="H289:N289" si="166">IF($F180&gt;5000000,ROUND(87.29*($F180/1000)^-0.2263,2),0)</f>
        <v>5.44</v>
      </c>
      <c r="I289" s="1253">
        <f t="shared" si="166"/>
        <v>5.44</v>
      </c>
      <c r="J289" s="1253">
        <f t="shared" si="166"/>
        <v>5.44</v>
      </c>
      <c r="K289" s="1253">
        <f t="shared" si="166"/>
        <v>5.44</v>
      </c>
      <c r="L289" s="1253">
        <f t="shared" si="166"/>
        <v>5.44</v>
      </c>
      <c r="M289" s="1253">
        <f t="shared" si="166"/>
        <v>5.44</v>
      </c>
      <c r="N289" s="1253">
        <f t="shared" si="166"/>
        <v>5.44</v>
      </c>
    </row>
    <row r="290" spans="1:14" s="889" customFormat="1" ht="15" hidden="1" customHeight="1" thickBot="1">
      <c r="A290" s="2811" t="s">
        <v>2697</v>
      </c>
      <c r="B290" s="2812"/>
      <c r="C290" s="2812"/>
      <c r="D290" s="2812"/>
      <c r="E290" s="1260"/>
      <c r="F290" s="1258"/>
      <c r="G290" s="1261">
        <f>IF($F180&lt;=5000000,IF(G$285&gt;G$286,G$286,IF(G$285&lt;G$287,G$287,G$285)),IF(G$285&gt;G$288,G$288,IF(G$285&lt;G$289,G$289,G$285)))</f>
        <v>11.5</v>
      </c>
      <c r="H290" s="1261">
        <f t="shared" ref="H290:N290" si="167">IF($F180&lt;=5000000,IF(H$285&gt;H$286,H$286,IF(H$285&lt;H$287,H$287,H$285)),IF(H$285&gt;H$288,H$288,IF(H$285&lt;H$289,H$289,H$285)))</f>
        <v>9.4700000000000006</v>
      </c>
      <c r="I290" s="1261">
        <f t="shared" si="167"/>
        <v>11.5</v>
      </c>
      <c r="J290" s="1261">
        <f t="shared" si="167"/>
        <v>5.44</v>
      </c>
      <c r="K290" s="1261">
        <f t="shared" si="167"/>
        <v>5.44</v>
      </c>
      <c r="L290" s="1261">
        <f t="shared" si="167"/>
        <v>5.44</v>
      </c>
      <c r="M290" s="1261">
        <f t="shared" si="167"/>
        <v>5.44</v>
      </c>
      <c r="N290" s="1261">
        <f t="shared" si="167"/>
        <v>5.44</v>
      </c>
    </row>
    <row r="291" spans="1:14" s="889" customFormat="1" ht="15" hidden="1" customHeight="1" thickBot="1">
      <c r="G291" s="1237"/>
      <c r="H291" s="1237"/>
      <c r="I291" s="1237"/>
      <c r="J291" s="1237"/>
      <c r="K291" s="1237"/>
      <c r="L291" s="1237"/>
      <c r="M291" s="1237"/>
      <c r="N291" s="1237"/>
    </row>
    <row r="292" spans="1:14" s="889" customFormat="1" ht="15" hidden="1" customHeight="1">
      <c r="A292" s="1238"/>
      <c r="B292" s="1239"/>
      <c r="C292" s="1240" t="s">
        <v>2700</v>
      </c>
      <c r="D292" s="1241"/>
      <c r="E292" s="1239"/>
      <c r="F292" s="1242"/>
      <c r="G292" s="1262"/>
      <c r="H292" s="1263"/>
      <c r="I292" s="1264"/>
      <c r="J292" s="1264"/>
      <c r="K292" s="1264"/>
      <c r="L292" s="1264"/>
      <c r="M292" s="1264"/>
      <c r="N292" s="1264"/>
    </row>
    <row r="293" spans="1:14" s="889" customFormat="1" ht="14.25" hidden="1" customHeight="1">
      <c r="A293" s="2802"/>
      <c r="B293" s="2805" t="s">
        <v>79</v>
      </c>
      <c r="C293" s="1245" t="s">
        <v>2701</v>
      </c>
      <c r="D293" s="1054"/>
      <c r="E293" s="1246"/>
      <c r="F293" s="1247" t="s">
        <v>2702</v>
      </c>
      <c r="G293" s="1265">
        <f>ROUND(28.978-3.173*LOG($F224/1000),2)</f>
        <v>11.93</v>
      </c>
      <c r="H293" s="1266"/>
      <c r="I293" s="1267"/>
      <c r="J293" s="1267"/>
      <c r="K293" s="1267"/>
      <c r="L293" s="1267"/>
      <c r="M293" s="1267"/>
      <c r="N293" s="1267"/>
    </row>
    <row r="294" spans="1:14" s="889" customFormat="1" ht="14.25" hidden="1" customHeight="1">
      <c r="A294" s="2803"/>
      <c r="B294" s="2806"/>
      <c r="C294" s="1268" t="s">
        <v>2703</v>
      </c>
      <c r="D294" s="1124"/>
      <c r="E294" s="1124"/>
      <c r="F294" s="1269"/>
      <c r="G294" s="1270">
        <f>IF($F224&lt;=5000000,17.24,0)</f>
        <v>0</v>
      </c>
      <c r="H294" s="1271"/>
      <c r="I294" s="1272"/>
      <c r="J294" s="147"/>
      <c r="K294" s="1272"/>
      <c r="L294" s="1272"/>
      <c r="M294" s="1272"/>
      <c r="N294" s="1272"/>
    </row>
    <row r="295" spans="1:14" s="889" customFormat="1" ht="15" hidden="1" customHeight="1">
      <c r="A295" s="2804"/>
      <c r="B295" s="2807"/>
      <c r="C295" s="1268" t="s">
        <v>2704</v>
      </c>
      <c r="D295" s="1124"/>
      <c r="E295" s="1054"/>
      <c r="F295" s="1269"/>
      <c r="G295" s="1270">
        <f>IF($F224&gt;3000000000,8.43,0)</f>
        <v>0</v>
      </c>
      <c r="H295" s="1273"/>
      <c r="I295" s="1274"/>
      <c r="J295" s="1274"/>
      <c r="K295" s="1274"/>
      <c r="L295" s="1274"/>
      <c r="M295" s="1274"/>
      <c r="N295" s="1274"/>
    </row>
    <row r="296" spans="1:14" s="889" customFormat="1" ht="15" hidden="1" customHeight="1" thickBot="1">
      <c r="A296" s="2811" t="s">
        <v>2705</v>
      </c>
      <c r="B296" s="2812"/>
      <c r="C296" s="2812"/>
      <c r="D296" s="2812"/>
      <c r="E296" s="1260"/>
      <c r="F296" s="1258"/>
      <c r="G296" s="1275">
        <f>IF($F224&lt;=5000000,G294,IF($F224&gt;3000000000,G295,G293))</f>
        <v>11.93</v>
      </c>
      <c r="H296" s="1276"/>
      <c r="I296" s="1277"/>
      <c r="J296" s="1277"/>
      <c r="K296" s="1277"/>
      <c r="L296" s="1277"/>
      <c r="M296" s="1277"/>
      <c r="N296" s="1277"/>
    </row>
    <row r="297" spans="1:14" ht="15" customHeight="1"/>
    <row r="298" spans="1:14" s="878" customFormat="1" ht="15" customHeight="1">
      <c r="A298" s="1023"/>
      <c r="B298" s="1023"/>
      <c r="C298" s="1024"/>
      <c r="D298" s="1025"/>
      <c r="E298" s="1026" t="s">
        <v>2501</v>
      </c>
      <c r="F298" s="1027" t="str">
        <f>+F82</f>
        <v>イ）堺筋本町駅</v>
      </c>
      <c r="G298" s="1028"/>
      <c r="H298" s="1029"/>
      <c r="I298" s="1030"/>
      <c r="J298" s="837"/>
      <c r="K298" s="837"/>
      <c r="L298" s="837"/>
      <c r="M298" s="837"/>
      <c r="N298" s="838" t="s">
        <v>2706</v>
      </c>
    </row>
    <row r="299" spans="1:14" s="889" customFormat="1" ht="15" customHeight="1">
      <c r="A299" s="1031"/>
      <c r="B299" s="1031"/>
      <c r="C299" s="1032" t="s">
        <v>2707</v>
      </c>
      <c r="D299" s="804"/>
      <c r="E299" s="1033"/>
      <c r="F299" s="1034" t="s">
        <v>2586</v>
      </c>
      <c r="G299" s="1035" t="s">
        <v>2708</v>
      </c>
      <c r="H299" s="1036"/>
      <c r="J299" s="1037"/>
      <c r="K299" s="1037"/>
      <c r="L299" s="1037"/>
      <c r="M299" s="1034"/>
      <c r="N299" s="1038"/>
    </row>
    <row r="300" spans="1:14" s="878" customFormat="1" ht="15" customHeight="1">
      <c r="A300" s="870"/>
      <c r="B300" s="871"/>
      <c r="C300" s="872" t="s">
        <v>2510</v>
      </c>
      <c r="D300" s="873"/>
      <c r="E300" s="874"/>
      <c r="F300" s="875" t="s">
        <v>2588</v>
      </c>
      <c r="G300" s="876">
        <f t="shared" ref="G300:N300" si="168">+G8</f>
        <v>16.600000000000001</v>
      </c>
      <c r="H300" s="876">
        <f t="shared" si="168"/>
        <v>11</v>
      </c>
      <c r="I300" s="876">
        <f t="shared" si="168"/>
        <v>16.600000000000001</v>
      </c>
      <c r="J300" s="876">
        <f t="shared" si="168"/>
        <v>0</v>
      </c>
      <c r="K300" s="876">
        <f t="shared" si="168"/>
        <v>0</v>
      </c>
      <c r="L300" s="876">
        <f t="shared" si="168"/>
        <v>0</v>
      </c>
      <c r="M300" s="876">
        <f t="shared" si="168"/>
        <v>0</v>
      </c>
      <c r="N300" s="877">
        <f t="shared" si="168"/>
        <v>0</v>
      </c>
    </row>
    <row r="301" spans="1:14" s="878" customFormat="1" ht="15" customHeight="1">
      <c r="A301" s="1285"/>
      <c r="B301" s="1286"/>
      <c r="C301" s="881" t="s">
        <v>2512</v>
      </c>
      <c r="D301" s="882"/>
      <c r="E301" s="883"/>
      <c r="F301" s="884" t="s">
        <v>2589</v>
      </c>
      <c r="G301" s="1280" t="str">
        <f t="shared" ref="G301:N301" si="169">G85</f>
        <v>改修</v>
      </c>
      <c r="H301" s="1280" t="str">
        <f t="shared" si="169"/>
        <v>改修</v>
      </c>
      <c r="I301" s="1280" t="str">
        <f t="shared" si="169"/>
        <v>改修</v>
      </c>
      <c r="J301" s="1280">
        <f t="shared" si="169"/>
        <v>0</v>
      </c>
      <c r="K301" s="1280">
        <f t="shared" si="169"/>
        <v>0</v>
      </c>
      <c r="L301" s="1280">
        <f t="shared" si="169"/>
        <v>0</v>
      </c>
      <c r="M301" s="1280">
        <f t="shared" si="169"/>
        <v>0</v>
      </c>
      <c r="N301" s="1280">
        <f t="shared" si="169"/>
        <v>0</v>
      </c>
    </row>
    <row r="302" spans="1:14" s="889" customFormat="1" ht="15" customHeight="1">
      <c r="A302" s="1285"/>
      <c r="B302" s="1286"/>
      <c r="C302" s="1286" t="s">
        <v>2590</v>
      </c>
      <c r="D302" s="1286"/>
      <c r="E302" s="1181" t="str">
        <f>+E86</f>
        <v>無し</v>
      </c>
      <c r="F302" s="1044" t="s">
        <v>2505</v>
      </c>
      <c r="G302" s="1281" t="str">
        <f t="shared" ref="G302:N302" si="170">+G3</f>
        <v>工事6</v>
      </c>
      <c r="H302" s="1281" t="str">
        <f t="shared" si="170"/>
        <v>工事7</v>
      </c>
      <c r="I302" s="1281" t="str">
        <f t="shared" si="170"/>
        <v>工事8</v>
      </c>
      <c r="J302" s="1281">
        <f t="shared" si="170"/>
        <v>0</v>
      </c>
      <c r="K302" s="1281">
        <f t="shared" si="170"/>
        <v>0</v>
      </c>
      <c r="L302" s="1281">
        <f t="shared" si="170"/>
        <v>0</v>
      </c>
      <c r="M302" s="1281">
        <f t="shared" si="170"/>
        <v>0</v>
      </c>
      <c r="N302" s="1282">
        <f t="shared" si="170"/>
        <v>0</v>
      </c>
    </row>
    <row r="303" spans="1:14" s="889" customFormat="1" ht="15" customHeight="1">
      <c r="A303" s="1285"/>
      <c r="B303" s="1286"/>
      <c r="C303" s="1286" t="s">
        <v>2592</v>
      </c>
      <c r="D303" s="1286"/>
      <c r="E303" s="1181" t="str">
        <f>+E87</f>
        <v>有り</v>
      </c>
      <c r="F303" s="1047" t="s">
        <v>2593</v>
      </c>
      <c r="G303" s="1048"/>
      <c r="H303" s="1283"/>
      <c r="I303" s="1283"/>
      <c r="J303" s="1283"/>
      <c r="K303" s="1283"/>
      <c r="L303" s="1283"/>
      <c r="M303" s="1283"/>
      <c r="N303" s="1284"/>
    </row>
    <row r="304" spans="1:14" s="889" customFormat="1" ht="15" customHeight="1">
      <c r="A304" s="2813" t="s">
        <v>2513</v>
      </c>
      <c r="B304" s="2814"/>
      <c r="C304" s="2814"/>
      <c r="D304" s="2814"/>
      <c r="E304" s="2814"/>
      <c r="F304" s="2815"/>
      <c r="G304" s="887" t="str">
        <f t="shared" ref="G304:N304" si="171">+G10</f>
        <v>積上げ・率処理併用</v>
      </c>
      <c r="H304" s="887" t="str">
        <f t="shared" si="171"/>
        <v>積上げ・率処理併用</v>
      </c>
      <c r="I304" s="887" t="str">
        <f t="shared" si="171"/>
        <v>積上げ・率処理併用</v>
      </c>
      <c r="J304" s="887" t="str">
        <f t="shared" si="171"/>
        <v>積上げ・率処理併用</v>
      </c>
      <c r="K304" s="887" t="str">
        <f t="shared" si="171"/>
        <v>積上げ・率処理併用</v>
      </c>
      <c r="L304" s="887" t="str">
        <f t="shared" si="171"/>
        <v>積上げ・率処理併用</v>
      </c>
      <c r="M304" s="887" t="str">
        <f t="shared" si="171"/>
        <v>積上げ・率処理併用</v>
      </c>
      <c r="N304" s="888" t="str">
        <f t="shared" si="171"/>
        <v>積上げ・率処理併用</v>
      </c>
    </row>
    <row r="305" spans="1:14" s="889" customFormat="1" ht="30" customHeight="1">
      <c r="A305" s="2816" t="s">
        <v>2514</v>
      </c>
      <c r="B305" s="2817"/>
      <c r="C305" s="2817"/>
      <c r="D305" s="2817"/>
      <c r="E305" s="2817"/>
      <c r="F305" s="2818"/>
      <c r="G305" s="1287" t="str">
        <f>G11</f>
        <v>駅施設</v>
      </c>
      <c r="H305" s="1287" t="str">
        <f t="shared" ref="H305:N306" si="172">H11</f>
        <v>駅施設</v>
      </c>
      <c r="I305" s="1287" t="str">
        <f t="shared" si="172"/>
        <v>駅施設</v>
      </c>
      <c r="J305" s="1287" t="str">
        <f t="shared" si="172"/>
        <v>駅施設</v>
      </c>
      <c r="K305" s="1287" t="str">
        <f t="shared" si="172"/>
        <v>駅施設</v>
      </c>
      <c r="L305" s="1287" t="str">
        <f t="shared" si="172"/>
        <v>駅施設</v>
      </c>
      <c r="M305" s="1287" t="str">
        <f t="shared" si="172"/>
        <v>駅施設</v>
      </c>
      <c r="N305" s="1288" t="str">
        <f t="shared" si="172"/>
        <v>駅施設</v>
      </c>
    </row>
    <row r="306" spans="1:14" s="889" customFormat="1" ht="30" customHeight="1">
      <c r="A306" s="2747" t="s">
        <v>2515</v>
      </c>
      <c r="B306" s="2748"/>
      <c r="C306" s="2748"/>
      <c r="D306" s="2748"/>
      <c r="E306" s="2748"/>
      <c r="F306" s="2749"/>
      <c r="G306" s="1289" t="str">
        <f>G12</f>
        <v>無し</v>
      </c>
      <c r="H306" s="1289" t="str">
        <f t="shared" si="172"/>
        <v>無し</v>
      </c>
      <c r="I306" s="1289" t="str">
        <f t="shared" si="172"/>
        <v>無し</v>
      </c>
      <c r="J306" s="1289" t="str">
        <f t="shared" si="172"/>
        <v>無し</v>
      </c>
      <c r="K306" s="1289" t="str">
        <f t="shared" si="172"/>
        <v>無し</v>
      </c>
      <c r="L306" s="1289" t="str">
        <f t="shared" si="172"/>
        <v>無し</v>
      </c>
      <c r="M306" s="1289" t="str">
        <f t="shared" si="172"/>
        <v>無し</v>
      </c>
      <c r="N306" s="1290" t="str">
        <f t="shared" si="172"/>
        <v>無し</v>
      </c>
    </row>
    <row r="307" spans="1:14" s="889" customFormat="1" ht="15" customHeight="1">
      <c r="A307" s="870"/>
      <c r="B307" s="894" t="s">
        <v>2597</v>
      </c>
      <c r="C307" s="895"/>
      <c r="D307" s="895"/>
      <c r="E307" s="896"/>
      <c r="F307" s="897">
        <f>SUM(G307:N307)</f>
        <v>222927251</v>
      </c>
      <c r="G307" s="898">
        <f>+G308+G312</f>
        <v>47386966</v>
      </c>
      <c r="H307" s="898">
        <f t="shared" ref="H307:N307" si="173">+H308+H312</f>
        <v>28908452</v>
      </c>
      <c r="I307" s="898">
        <f t="shared" si="173"/>
        <v>146631833</v>
      </c>
      <c r="J307" s="898">
        <f t="shared" si="173"/>
        <v>0</v>
      </c>
      <c r="K307" s="898">
        <f t="shared" si="173"/>
        <v>0</v>
      </c>
      <c r="L307" s="898">
        <f t="shared" si="173"/>
        <v>0</v>
      </c>
      <c r="M307" s="898">
        <f t="shared" si="173"/>
        <v>0</v>
      </c>
      <c r="N307" s="899">
        <f t="shared" si="173"/>
        <v>0</v>
      </c>
    </row>
    <row r="308" spans="1:14" s="889" customFormat="1" ht="15" customHeight="1">
      <c r="A308" s="1285"/>
      <c r="B308" s="1286"/>
      <c r="C308" s="691" t="s">
        <v>2517</v>
      </c>
      <c r="D308" s="692"/>
      <c r="E308" s="874"/>
      <c r="F308" s="900">
        <f>SUM(G308:N308)</f>
        <v>206250615</v>
      </c>
      <c r="G308" s="1291">
        <f t="shared" ref="G308:N308" si="174">+G92+G14</f>
        <v>41900722</v>
      </c>
      <c r="H308" s="1291">
        <f t="shared" si="174"/>
        <v>27426558</v>
      </c>
      <c r="I308" s="1291">
        <f t="shared" si="174"/>
        <v>136923335</v>
      </c>
      <c r="J308" s="1291">
        <f t="shared" si="174"/>
        <v>0</v>
      </c>
      <c r="K308" s="1291">
        <f t="shared" si="174"/>
        <v>0</v>
      </c>
      <c r="L308" s="1291">
        <f t="shared" si="174"/>
        <v>0</v>
      </c>
      <c r="M308" s="1291">
        <f t="shared" si="174"/>
        <v>0</v>
      </c>
      <c r="N308" s="1292">
        <f t="shared" si="174"/>
        <v>0</v>
      </c>
    </row>
    <row r="309" spans="1:14" s="889" customFormat="1" ht="15" customHeight="1">
      <c r="A309" s="1285"/>
      <c r="B309" s="1286"/>
      <c r="C309" s="1054"/>
      <c r="D309" s="1054"/>
      <c r="E309" s="903"/>
      <c r="F309" s="904" t="s">
        <v>2598</v>
      </c>
      <c r="G309" s="905">
        <f t="shared" ref="G309:N309" si="175">SUM(G401:G410)</f>
        <v>4437129</v>
      </c>
      <c r="H309" s="905">
        <f t="shared" si="175"/>
        <v>13658</v>
      </c>
      <c r="I309" s="905">
        <f t="shared" si="175"/>
        <v>2516136</v>
      </c>
      <c r="J309" s="905">
        <f t="shared" si="175"/>
        <v>0</v>
      </c>
      <c r="K309" s="905">
        <f t="shared" si="175"/>
        <v>0</v>
      </c>
      <c r="L309" s="905">
        <f t="shared" si="175"/>
        <v>0</v>
      </c>
      <c r="M309" s="905">
        <f t="shared" si="175"/>
        <v>0</v>
      </c>
      <c r="N309" s="906">
        <f t="shared" si="175"/>
        <v>0</v>
      </c>
    </row>
    <row r="310" spans="1:14" s="889" customFormat="1" ht="15" customHeight="1">
      <c r="A310" s="1285"/>
      <c r="B310" s="1286"/>
      <c r="C310" s="1054"/>
      <c r="D310" s="1054"/>
      <c r="E310" s="903"/>
      <c r="F310" s="904" t="s">
        <v>2599</v>
      </c>
      <c r="G310" s="905">
        <f t="shared" ref="G310:N310" si="176">SUM(G447:G449)</f>
        <v>0</v>
      </c>
      <c r="H310" s="905">
        <f t="shared" si="176"/>
        <v>0</v>
      </c>
      <c r="I310" s="905">
        <f t="shared" si="176"/>
        <v>0</v>
      </c>
      <c r="J310" s="905">
        <f t="shared" si="176"/>
        <v>0</v>
      </c>
      <c r="K310" s="905">
        <f t="shared" si="176"/>
        <v>0</v>
      </c>
      <c r="L310" s="905">
        <f t="shared" si="176"/>
        <v>0</v>
      </c>
      <c r="M310" s="905">
        <f t="shared" si="176"/>
        <v>0</v>
      </c>
      <c r="N310" s="906">
        <f t="shared" si="176"/>
        <v>0</v>
      </c>
    </row>
    <row r="311" spans="1:14" s="889" customFormat="1" ht="15" customHeight="1">
      <c r="A311" s="1285"/>
      <c r="B311" s="1286"/>
      <c r="C311" s="1054"/>
      <c r="D311" s="1054"/>
      <c r="E311" s="903"/>
      <c r="F311" s="1055" t="s">
        <v>2600</v>
      </c>
      <c r="G311" s="905">
        <f t="shared" ref="G311:N311" si="177">+G350</f>
        <v>0</v>
      </c>
      <c r="H311" s="905">
        <f t="shared" si="177"/>
        <v>0</v>
      </c>
      <c r="I311" s="905">
        <f t="shared" si="177"/>
        <v>0</v>
      </c>
      <c r="J311" s="905">
        <f t="shared" si="177"/>
        <v>0</v>
      </c>
      <c r="K311" s="905">
        <f t="shared" si="177"/>
        <v>0</v>
      </c>
      <c r="L311" s="905">
        <f t="shared" si="177"/>
        <v>0</v>
      </c>
      <c r="M311" s="905">
        <f t="shared" si="177"/>
        <v>0</v>
      </c>
      <c r="N311" s="906">
        <f t="shared" si="177"/>
        <v>0</v>
      </c>
    </row>
    <row r="312" spans="1:14" s="889" customFormat="1" ht="15" customHeight="1">
      <c r="A312" s="1285"/>
      <c r="B312" s="1286"/>
      <c r="C312" s="698" t="s">
        <v>2518</v>
      </c>
      <c r="D312" s="698"/>
      <c r="E312" s="903"/>
      <c r="F312" s="904">
        <f t="shared" ref="F312:F329" si="178">SUM(G312:N312)</f>
        <v>16676636</v>
      </c>
      <c r="G312" s="905">
        <f t="shared" ref="G312:N312" si="179">G313+G314</f>
        <v>5486244</v>
      </c>
      <c r="H312" s="905">
        <f t="shared" si="179"/>
        <v>1481894</v>
      </c>
      <c r="I312" s="905">
        <f t="shared" si="179"/>
        <v>9708498</v>
      </c>
      <c r="J312" s="905">
        <f t="shared" si="179"/>
        <v>0</v>
      </c>
      <c r="K312" s="905">
        <f t="shared" si="179"/>
        <v>0</v>
      </c>
      <c r="L312" s="905">
        <f t="shared" si="179"/>
        <v>0</v>
      </c>
      <c r="M312" s="905">
        <f t="shared" si="179"/>
        <v>0</v>
      </c>
      <c r="N312" s="906">
        <f t="shared" si="179"/>
        <v>0</v>
      </c>
    </row>
    <row r="313" spans="1:14" s="889" customFormat="1" ht="15" customHeight="1">
      <c r="A313" s="1285"/>
      <c r="B313" s="1286"/>
      <c r="C313" s="907" t="s">
        <v>2519</v>
      </c>
      <c r="D313" s="698"/>
      <c r="E313" s="903"/>
      <c r="F313" s="904">
        <f t="shared" si="178"/>
        <v>6307009</v>
      </c>
      <c r="G313" s="905">
        <f>IF(G304="積上げ",0,G390)</f>
        <v>1239427</v>
      </c>
      <c r="H313" s="905">
        <f t="shared" ref="H313:N313" si="180">IF(H304="積上げ",0,H390)</f>
        <v>759337</v>
      </c>
      <c r="I313" s="905">
        <f t="shared" si="180"/>
        <v>4308245</v>
      </c>
      <c r="J313" s="905">
        <f t="shared" si="180"/>
        <v>0</v>
      </c>
      <c r="K313" s="905">
        <f t="shared" si="180"/>
        <v>0</v>
      </c>
      <c r="L313" s="905">
        <f t="shared" si="180"/>
        <v>0</v>
      </c>
      <c r="M313" s="905">
        <f t="shared" si="180"/>
        <v>0</v>
      </c>
      <c r="N313" s="906">
        <f t="shared" si="180"/>
        <v>0</v>
      </c>
    </row>
    <row r="314" spans="1:14" s="889" customFormat="1" ht="15" customHeight="1">
      <c r="A314" s="1285"/>
      <c r="B314" s="1286"/>
      <c r="C314" s="907" t="s">
        <v>2525</v>
      </c>
      <c r="D314" s="698"/>
      <c r="E314" s="903"/>
      <c r="F314" s="904">
        <f t="shared" si="178"/>
        <v>10369627</v>
      </c>
      <c r="G314" s="1293">
        <f t="shared" ref="G314:N316" si="181">+G98+G22</f>
        <v>4246817</v>
      </c>
      <c r="H314" s="1293">
        <f t="shared" si="181"/>
        <v>722557</v>
      </c>
      <c r="I314" s="1293">
        <f t="shared" si="181"/>
        <v>5400253</v>
      </c>
      <c r="J314" s="1293">
        <f t="shared" si="181"/>
        <v>0</v>
      </c>
      <c r="K314" s="1293">
        <f t="shared" si="181"/>
        <v>0</v>
      </c>
      <c r="L314" s="1293">
        <f t="shared" si="181"/>
        <v>0</v>
      </c>
      <c r="M314" s="1293">
        <f t="shared" si="181"/>
        <v>0</v>
      </c>
      <c r="N314" s="1294">
        <f t="shared" si="181"/>
        <v>0</v>
      </c>
    </row>
    <row r="315" spans="1:14" s="889" customFormat="1" ht="15" customHeight="1">
      <c r="A315" s="1285"/>
      <c r="B315" s="1286"/>
      <c r="C315" s="915" t="s">
        <v>2709</v>
      </c>
      <c r="D315" s="698"/>
      <c r="E315" s="903"/>
      <c r="F315" s="904">
        <f t="shared" si="178"/>
        <v>0</v>
      </c>
      <c r="G315" s="905">
        <f t="shared" si="181"/>
        <v>0</v>
      </c>
      <c r="H315" s="905">
        <f t="shared" si="181"/>
        <v>0</v>
      </c>
      <c r="I315" s="905">
        <f t="shared" si="181"/>
        <v>0</v>
      </c>
      <c r="J315" s="905">
        <f t="shared" si="181"/>
        <v>0</v>
      </c>
      <c r="K315" s="905">
        <f t="shared" si="181"/>
        <v>0</v>
      </c>
      <c r="L315" s="905">
        <f t="shared" si="181"/>
        <v>0</v>
      </c>
      <c r="M315" s="905">
        <f t="shared" si="181"/>
        <v>0</v>
      </c>
      <c r="N315" s="906">
        <f t="shared" si="181"/>
        <v>0</v>
      </c>
    </row>
    <row r="316" spans="1:14" s="889" customFormat="1" ht="15" customHeight="1">
      <c r="A316" s="1285"/>
      <c r="B316" s="1286"/>
      <c r="C316" s="916" t="s">
        <v>2527</v>
      </c>
      <c r="D316" s="917"/>
      <c r="E316" s="918"/>
      <c r="F316" s="919">
        <f t="shared" si="178"/>
        <v>0</v>
      </c>
      <c r="G316" s="905">
        <f t="shared" si="181"/>
        <v>0</v>
      </c>
      <c r="H316" s="905">
        <f t="shared" si="181"/>
        <v>0</v>
      </c>
      <c r="I316" s="905">
        <f t="shared" si="181"/>
        <v>0</v>
      </c>
      <c r="J316" s="905">
        <f t="shared" si="181"/>
        <v>0</v>
      </c>
      <c r="K316" s="905">
        <f t="shared" si="181"/>
        <v>0</v>
      </c>
      <c r="L316" s="905">
        <f t="shared" si="181"/>
        <v>0</v>
      </c>
      <c r="M316" s="905">
        <f t="shared" si="181"/>
        <v>0</v>
      </c>
      <c r="N316" s="906">
        <f t="shared" si="181"/>
        <v>0</v>
      </c>
    </row>
    <row r="317" spans="1:14" s="889" customFormat="1" ht="15" customHeight="1">
      <c r="A317" s="1060"/>
      <c r="B317" s="1061"/>
      <c r="C317" s="1062" t="s">
        <v>2601</v>
      </c>
      <c r="D317" s="1063"/>
      <c r="E317" s="938"/>
      <c r="F317" s="939">
        <f t="shared" si="178"/>
        <v>0</v>
      </c>
      <c r="G317" s="1064">
        <f t="shared" ref="G317:N317" si="182">+G351</f>
        <v>0</v>
      </c>
      <c r="H317" s="1064">
        <f t="shared" si="182"/>
        <v>0</v>
      </c>
      <c r="I317" s="1064">
        <f t="shared" si="182"/>
        <v>0</v>
      </c>
      <c r="J317" s="1064">
        <f t="shared" si="182"/>
        <v>0</v>
      </c>
      <c r="K317" s="1064">
        <f t="shared" si="182"/>
        <v>0</v>
      </c>
      <c r="L317" s="1064">
        <f t="shared" si="182"/>
        <v>0</v>
      </c>
      <c r="M317" s="1064">
        <f t="shared" si="182"/>
        <v>0</v>
      </c>
      <c r="N317" s="1065">
        <f t="shared" si="182"/>
        <v>0</v>
      </c>
    </row>
    <row r="318" spans="1:14" s="889" customFormat="1" ht="15" customHeight="1">
      <c r="A318" s="1285"/>
      <c r="B318" s="917" t="s">
        <v>2602</v>
      </c>
      <c r="C318" s="917"/>
      <c r="D318" s="917"/>
      <c r="E318" s="918"/>
      <c r="F318" s="919">
        <f t="shared" si="178"/>
        <v>54972749</v>
      </c>
      <c r="G318" s="1066">
        <f t="shared" ref="G318:N318" si="183">G319+G324</f>
        <v>11519034</v>
      </c>
      <c r="H318" s="1066">
        <f t="shared" si="183"/>
        <v>6631548</v>
      </c>
      <c r="I318" s="1066">
        <f t="shared" si="183"/>
        <v>36822167</v>
      </c>
      <c r="J318" s="1066">
        <f t="shared" si="183"/>
        <v>0</v>
      </c>
      <c r="K318" s="1066">
        <f t="shared" si="183"/>
        <v>0</v>
      </c>
      <c r="L318" s="1066">
        <f t="shared" si="183"/>
        <v>0</v>
      </c>
      <c r="M318" s="1066">
        <f t="shared" si="183"/>
        <v>0</v>
      </c>
      <c r="N318" s="1067">
        <f t="shared" si="183"/>
        <v>0</v>
      </c>
    </row>
    <row r="319" spans="1:14" s="889" customFormat="1" ht="15" customHeight="1">
      <c r="A319" s="1285"/>
      <c r="B319" s="1286"/>
      <c r="C319" s="691" t="s">
        <v>2603</v>
      </c>
      <c r="D319" s="691"/>
      <c r="E319" s="875"/>
      <c r="F319" s="900">
        <f t="shared" si="178"/>
        <v>24099612</v>
      </c>
      <c r="G319" s="1068">
        <f t="shared" ref="G319:N319" si="184">G320+G323</f>
        <v>4974486</v>
      </c>
      <c r="H319" s="1068">
        <f t="shared" si="184"/>
        <v>2684326</v>
      </c>
      <c r="I319" s="1068">
        <f t="shared" si="184"/>
        <v>16440800</v>
      </c>
      <c r="J319" s="1068">
        <f t="shared" si="184"/>
        <v>0</v>
      </c>
      <c r="K319" s="1068">
        <f t="shared" si="184"/>
        <v>0</v>
      </c>
      <c r="L319" s="1068">
        <f t="shared" si="184"/>
        <v>0</v>
      </c>
      <c r="M319" s="1068">
        <f t="shared" si="184"/>
        <v>0</v>
      </c>
      <c r="N319" s="1069">
        <f t="shared" si="184"/>
        <v>0</v>
      </c>
    </row>
    <row r="320" spans="1:14" s="889" customFormat="1" ht="15" customHeight="1">
      <c r="A320" s="1285"/>
      <c r="B320" s="1286"/>
      <c r="C320" s="1070" t="s">
        <v>2604</v>
      </c>
      <c r="D320" s="1070"/>
      <c r="E320" s="884"/>
      <c r="F320" s="904">
        <f t="shared" si="178"/>
        <v>24099612</v>
      </c>
      <c r="G320" s="1071">
        <f t="shared" ref="G320:N320" si="185">SUM(G321:G322)-G323</f>
        <v>4974486</v>
      </c>
      <c r="H320" s="1071">
        <f t="shared" si="185"/>
        <v>2684326</v>
      </c>
      <c r="I320" s="1071">
        <f t="shared" si="185"/>
        <v>16440800</v>
      </c>
      <c r="J320" s="1071">
        <f t="shared" si="185"/>
        <v>0</v>
      </c>
      <c r="K320" s="1071">
        <f t="shared" si="185"/>
        <v>0</v>
      </c>
      <c r="L320" s="1071">
        <f t="shared" si="185"/>
        <v>0</v>
      </c>
      <c r="M320" s="1071">
        <f t="shared" si="185"/>
        <v>0</v>
      </c>
      <c r="N320" s="1072">
        <f t="shared" si="185"/>
        <v>0</v>
      </c>
    </row>
    <row r="321" spans="1:14" s="889" customFormat="1" ht="15" customHeight="1">
      <c r="A321" s="1285"/>
      <c r="B321" s="1286"/>
      <c r="C321" s="1073" t="s">
        <v>2605</v>
      </c>
      <c r="D321" s="1073"/>
      <c r="E321" s="903"/>
      <c r="F321" s="904">
        <f t="shared" si="178"/>
        <v>23972383</v>
      </c>
      <c r="G321" s="905">
        <f t="shared" ref="G321:N321" si="186">SUM(G416:G418)+G414</f>
        <v>4887691</v>
      </c>
      <c r="H321" s="905">
        <f t="shared" si="186"/>
        <v>2684326</v>
      </c>
      <c r="I321" s="905">
        <f t="shared" si="186"/>
        <v>16400366</v>
      </c>
      <c r="J321" s="905">
        <f t="shared" si="186"/>
        <v>0</v>
      </c>
      <c r="K321" s="905">
        <f t="shared" si="186"/>
        <v>0</v>
      </c>
      <c r="L321" s="905">
        <f t="shared" si="186"/>
        <v>0</v>
      </c>
      <c r="M321" s="905">
        <f t="shared" si="186"/>
        <v>0</v>
      </c>
      <c r="N321" s="906">
        <f t="shared" si="186"/>
        <v>0</v>
      </c>
    </row>
    <row r="322" spans="1:14" s="889" customFormat="1" ht="15" customHeight="1">
      <c r="A322" s="1285"/>
      <c r="B322" s="1286"/>
      <c r="C322" s="1073" t="s">
        <v>2606</v>
      </c>
      <c r="D322" s="1073"/>
      <c r="E322" s="903"/>
      <c r="F322" s="904">
        <f t="shared" si="178"/>
        <v>127229</v>
      </c>
      <c r="G322" s="905">
        <f t="shared" ref="G322:N322" si="187">SUM(G419:G430)</f>
        <v>86795</v>
      </c>
      <c r="H322" s="905">
        <f t="shared" si="187"/>
        <v>0</v>
      </c>
      <c r="I322" s="905">
        <f t="shared" si="187"/>
        <v>40434</v>
      </c>
      <c r="J322" s="905">
        <f t="shared" si="187"/>
        <v>0</v>
      </c>
      <c r="K322" s="905">
        <f t="shared" si="187"/>
        <v>0</v>
      </c>
      <c r="L322" s="905">
        <f t="shared" si="187"/>
        <v>0</v>
      </c>
      <c r="M322" s="905">
        <f t="shared" si="187"/>
        <v>0</v>
      </c>
      <c r="N322" s="906">
        <f t="shared" si="187"/>
        <v>0</v>
      </c>
    </row>
    <row r="323" spans="1:14" s="889" customFormat="1" ht="15" customHeight="1">
      <c r="A323" s="1285"/>
      <c r="B323" s="1286"/>
      <c r="C323" s="1073" t="s">
        <v>2607</v>
      </c>
      <c r="D323" s="1073"/>
      <c r="E323" s="903"/>
      <c r="F323" s="904">
        <f t="shared" si="178"/>
        <v>0</v>
      </c>
      <c r="G323" s="905">
        <f t="shared" ref="G323:N323" si="188">+G428</f>
        <v>0</v>
      </c>
      <c r="H323" s="905">
        <f t="shared" si="188"/>
        <v>0</v>
      </c>
      <c r="I323" s="905">
        <f t="shared" si="188"/>
        <v>0</v>
      </c>
      <c r="J323" s="905">
        <f t="shared" si="188"/>
        <v>0</v>
      </c>
      <c r="K323" s="905">
        <f t="shared" si="188"/>
        <v>0</v>
      </c>
      <c r="L323" s="905">
        <f t="shared" si="188"/>
        <v>0</v>
      </c>
      <c r="M323" s="905">
        <f t="shared" si="188"/>
        <v>0</v>
      </c>
      <c r="N323" s="906">
        <f t="shared" si="188"/>
        <v>0</v>
      </c>
    </row>
    <row r="324" spans="1:14" s="889" customFormat="1" ht="15" customHeight="1">
      <c r="A324" s="1285"/>
      <c r="B324" s="1286"/>
      <c r="C324" s="698" t="s">
        <v>2608</v>
      </c>
      <c r="D324" s="698"/>
      <c r="E324" s="903"/>
      <c r="F324" s="904">
        <f t="shared" si="178"/>
        <v>30873137</v>
      </c>
      <c r="G324" s="905">
        <f>SUM(G325:G328)</f>
        <v>6544548</v>
      </c>
      <c r="H324" s="905">
        <f t="shared" ref="H324:N324" si="189">SUM(H325:H328)</f>
        <v>3947222</v>
      </c>
      <c r="I324" s="905">
        <f t="shared" si="189"/>
        <v>20381367</v>
      </c>
      <c r="J324" s="905">
        <f t="shared" si="189"/>
        <v>0</v>
      </c>
      <c r="K324" s="905">
        <f t="shared" si="189"/>
        <v>0</v>
      </c>
      <c r="L324" s="905">
        <f t="shared" si="189"/>
        <v>0</v>
      </c>
      <c r="M324" s="905">
        <f t="shared" si="189"/>
        <v>0</v>
      </c>
      <c r="N324" s="906">
        <f t="shared" si="189"/>
        <v>0</v>
      </c>
    </row>
    <row r="325" spans="1:14" s="889" customFormat="1" ht="15" customHeight="1">
      <c r="A325" s="1285"/>
      <c r="B325" s="1286"/>
      <c r="C325" s="1073" t="s">
        <v>2605</v>
      </c>
      <c r="D325" s="1073"/>
      <c r="E325" s="903"/>
      <c r="F325" s="1074">
        <f t="shared" si="178"/>
        <v>29308223</v>
      </c>
      <c r="G325" s="905">
        <f>IF(G452=0,0,+G452-G469)</f>
        <v>6212839</v>
      </c>
      <c r="H325" s="905">
        <f t="shared" ref="H325:N325" si="190">IF(H452=0,0,+H452-H469)</f>
        <v>3747082</v>
      </c>
      <c r="I325" s="905">
        <f t="shared" si="190"/>
        <v>19348302</v>
      </c>
      <c r="J325" s="905">
        <f t="shared" si="190"/>
        <v>0</v>
      </c>
      <c r="K325" s="905">
        <f t="shared" si="190"/>
        <v>0</v>
      </c>
      <c r="L325" s="905">
        <f t="shared" si="190"/>
        <v>0</v>
      </c>
      <c r="M325" s="905">
        <f t="shared" si="190"/>
        <v>0</v>
      </c>
      <c r="N325" s="906">
        <f t="shared" si="190"/>
        <v>0</v>
      </c>
    </row>
    <row r="326" spans="1:14" s="889" customFormat="1" ht="15" customHeight="1">
      <c r="A326" s="1285"/>
      <c r="B326" s="1286"/>
      <c r="C326" s="1073" t="s">
        <v>2609</v>
      </c>
      <c r="D326" s="1073"/>
      <c r="E326" s="903"/>
      <c r="F326" s="904">
        <f t="shared" si="178"/>
        <v>1564914</v>
      </c>
      <c r="G326" s="905">
        <f t="shared" ref="G326:N326" si="191">+G453+G454</f>
        <v>331709</v>
      </c>
      <c r="H326" s="905">
        <f t="shared" si="191"/>
        <v>200140</v>
      </c>
      <c r="I326" s="905">
        <f t="shared" si="191"/>
        <v>1033065</v>
      </c>
      <c r="J326" s="905">
        <f t="shared" si="191"/>
        <v>0</v>
      </c>
      <c r="K326" s="905">
        <f t="shared" si="191"/>
        <v>0</v>
      </c>
      <c r="L326" s="905">
        <f t="shared" si="191"/>
        <v>0</v>
      </c>
      <c r="M326" s="905">
        <f t="shared" si="191"/>
        <v>0</v>
      </c>
      <c r="N326" s="906">
        <f t="shared" si="191"/>
        <v>0</v>
      </c>
    </row>
    <row r="327" spans="1:14" s="889" customFormat="1" ht="15" customHeight="1">
      <c r="A327" s="1285"/>
      <c r="B327" s="1286"/>
      <c r="C327" s="1073" t="s">
        <v>2610</v>
      </c>
      <c r="D327" s="1073"/>
      <c r="E327" s="903"/>
      <c r="F327" s="904">
        <f t="shared" si="178"/>
        <v>0</v>
      </c>
      <c r="G327" s="905">
        <f t="shared" ref="G327:N327" si="192">SUM(G455:G459)</f>
        <v>0</v>
      </c>
      <c r="H327" s="905">
        <f t="shared" si="192"/>
        <v>0</v>
      </c>
      <c r="I327" s="905">
        <f t="shared" si="192"/>
        <v>0</v>
      </c>
      <c r="J327" s="905">
        <f t="shared" si="192"/>
        <v>0</v>
      </c>
      <c r="K327" s="905">
        <f t="shared" si="192"/>
        <v>0</v>
      </c>
      <c r="L327" s="905">
        <f t="shared" si="192"/>
        <v>0</v>
      </c>
      <c r="M327" s="905">
        <f t="shared" si="192"/>
        <v>0</v>
      </c>
      <c r="N327" s="906">
        <f t="shared" si="192"/>
        <v>0</v>
      </c>
    </row>
    <row r="328" spans="1:14" s="889" customFormat="1" ht="15" customHeight="1">
      <c r="A328" s="1285"/>
      <c r="B328" s="1286"/>
      <c r="C328" s="917" t="s">
        <v>2611</v>
      </c>
      <c r="D328" s="1286"/>
      <c r="E328" s="918"/>
      <c r="F328" s="919">
        <f t="shared" si="178"/>
        <v>0</v>
      </c>
      <c r="G328" s="1066">
        <f>IF(G460=0,0,+G460-G469)</f>
        <v>0</v>
      </c>
      <c r="H328" s="1066">
        <f t="shared" ref="H328:N328" si="193">IF(H460=0,0,+H460-H469)</f>
        <v>0</v>
      </c>
      <c r="I328" s="1066">
        <f t="shared" si="193"/>
        <v>0</v>
      </c>
      <c r="J328" s="1066">
        <f t="shared" si="193"/>
        <v>0</v>
      </c>
      <c r="K328" s="1066">
        <f t="shared" si="193"/>
        <v>0</v>
      </c>
      <c r="L328" s="1066">
        <f t="shared" si="193"/>
        <v>0</v>
      </c>
      <c r="M328" s="1066">
        <f t="shared" si="193"/>
        <v>0</v>
      </c>
      <c r="N328" s="1067">
        <f t="shared" si="193"/>
        <v>0</v>
      </c>
    </row>
    <row r="329" spans="1:14" s="889" customFormat="1" ht="15" customHeight="1">
      <c r="A329" s="1075"/>
      <c r="B329" s="895" t="s">
        <v>2612</v>
      </c>
      <c r="C329" s="895"/>
      <c r="D329" s="895"/>
      <c r="E329" s="1076"/>
      <c r="F329" s="897">
        <f t="shared" si="178"/>
        <v>277900000</v>
      </c>
      <c r="G329" s="898">
        <f t="shared" ref="G329:N329" si="194">G307+G318</f>
        <v>58906000</v>
      </c>
      <c r="H329" s="898">
        <f t="shared" si="194"/>
        <v>35540000</v>
      </c>
      <c r="I329" s="898">
        <f t="shared" si="194"/>
        <v>183454000</v>
      </c>
      <c r="J329" s="898">
        <f t="shared" si="194"/>
        <v>0</v>
      </c>
      <c r="K329" s="898">
        <f t="shared" si="194"/>
        <v>0</v>
      </c>
      <c r="L329" s="898">
        <f t="shared" si="194"/>
        <v>0</v>
      </c>
      <c r="M329" s="898">
        <f t="shared" si="194"/>
        <v>0</v>
      </c>
      <c r="N329" s="899">
        <f t="shared" si="194"/>
        <v>0</v>
      </c>
    </row>
    <row r="330" spans="1:14" s="889" customFormat="1" ht="15" customHeight="1">
      <c r="A330" s="1077"/>
      <c r="B330" s="1286"/>
      <c r="C330" s="1078" t="s">
        <v>2613</v>
      </c>
      <c r="D330" s="1078"/>
      <c r="E330" s="1079"/>
      <c r="F330" s="1033"/>
      <c r="G330" s="1080" t="s">
        <v>2614</v>
      </c>
      <c r="H330" s="1081"/>
      <c r="I330" s="1037"/>
      <c r="J330" s="1037"/>
      <c r="K330" s="1037"/>
      <c r="L330" s="1037"/>
      <c r="M330" s="1037"/>
      <c r="N330" s="1037"/>
    </row>
    <row r="331" spans="1:14" s="889" customFormat="1" ht="15" customHeight="1">
      <c r="A331" s="870"/>
      <c r="B331" s="871"/>
      <c r="C331" s="871"/>
      <c r="D331" s="871"/>
      <c r="E331" s="1082"/>
      <c r="F331" s="1083" t="s">
        <v>2505</v>
      </c>
      <c r="G331" s="1295" t="str">
        <f>+G302</f>
        <v>工事6</v>
      </c>
      <c r="H331" s="1084" t="str">
        <f t="shared" ref="H331:N331" si="195">+H302</f>
        <v>工事7</v>
      </c>
      <c r="I331" s="1084" t="str">
        <f t="shared" si="195"/>
        <v>工事8</v>
      </c>
      <c r="J331" s="1084">
        <f t="shared" si="195"/>
        <v>0</v>
      </c>
      <c r="K331" s="1084">
        <f t="shared" si="195"/>
        <v>0</v>
      </c>
      <c r="L331" s="1084">
        <f t="shared" si="195"/>
        <v>0</v>
      </c>
      <c r="M331" s="1084">
        <f t="shared" si="195"/>
        <v>0</v>
      </c>
      <c r="N331" s="1085">
        <f t="shared" si="195"/>
        <v>0</v>
      </c>
    </row>
    <row r="332" spans="1:14" s="889" customFormat="1" ht="15" customHeight="1">
      <c r="A332" s="922" t="s">
        <v>2528</v>
      </c>
      <c r="B332" s="923"/>
      <c r="C332" s="923"/>
      <c r="D332" s="923"/>
      <c r="E332" s="1181"/>
      <c r="F332" s="1296"/>
      <c r="G332" s="1297"/>
      <c r="H332" s="1297"/>
      <c r="I332" s="1297"/>
      <c r="J332" s="1297"/>
      <c r="K332" s="1297"/>
      <c r="L332" s="1297"/>
      <c r="M332" s="1297"/>
      <c r="N332" s="1298"/>
    </row>
    <row r="333" spans="1:14" s="889" customFormat="1" ht="15" customHeight="1">
      <c r="A333" s="2793"/>
      <c r="B333" s="2755" t="s">
        <v>2529</v>
      </c>
      <c r="C333" s="692" t="s">
        <v>2530</v>
      </c>
      <c r="D333" s="692"/>
      <c r="E333" s="875"/>
      <c r="F333" s="900">
        <f t="shared" ref="F333:F339" si="196">SUM(G333:N333)</f>
        <v>0</v>
      </c>
      <c r="G333" s="1068">
        <f t="shared" ref="G333:N348" si="197">+G117+G26</f>
        <v>0</v>
      </c>
      <c r="H333" s="1068">
        <f t="shared" si="197"/>
        <v>0</v>
      </c>
      <c r="I333" s="1068">
        <f t="shared" si="197"/>
        <v>0</v>
      </c>
      <c r="J333" s="1068">
        <f t="shared" si="197"/>
        <v>0</v>
      </c>
      <c r="K333" s="1068">
        <f t="shared" si="197"/>
        <v>0</v>
      </c>
      <c r="L333" s="1068">
        <f t="shared" si="197"/>
        <v>0</v>
      </c>
      <c r="M333" s="1068">
        <f t="shared" si="197"/>
        <v>0</v>
      </c>
      <c r="N333" s="1069">
        <f t="shared" si="197"/>
        <v>0</v>
      </c>
    </row>
    <row r="334" spans="1:14" s="889" customFormat="1" ht="15" customHeight="1">
      <c r="A334" s="2753"/>
      <c r="B334" s="2756"/>
      <c r="C334" s="699" t="s">
        <v>2531</v>
      </c>
      <c r="D334" s="699"/>
      <c r="E334" s="903"/>
      <c r="F334" s="904">
        <f t="shared" si="196"/>
        <v>199346677</v>
      </c>
      <c r="G334" s="905">
        <f t="shared" si="197"/>
        <v>37506561</v>
      </c>
      <c r="H334" s="905">
        <f t="shared" si="197"/>
        <v>27412900</v>
      </c>
      <c r="I334" s="905">
        <f t="shared" si="197"/>
        <v>134427216</v>
      </c>
      <c r="J334" s="905">
        <f t="shared" si="197"/>
        <v>0</v>
      </c>
      <c r="K334" s="905">
        <f t="shared" si="197"/>
        <v>0</v>
      </c>
      <c r="L334" s="905">
        <f t="shared" si="197"/>
        <v>0</v>
      </c>
      <c r="M334" s="905">
        <f t="shared" si="197"/>
        <v>0</v>
      </c>
      <c r="N334" s="906">
        <f t="shared" si="197"/>
        <v>0</v>
      </c>
    </row>
    <row r="335" spans="1:14" s="889" customFormat="1" ht="15" customHeight="1">
      <c r="A335" s="2753"/>
      <c r="B335" s="2756"/>
      <c r="C335" s="929" t="s">
        <v>2532</v>
      </c>
      <c r="D335" s="699"/>
      <c r="E335" s="903"/>
      <c r="F335" s="904">
        <f t="shared" si="196"/>
        <v>0</v>
      </c>
      <c r="G335" s="905">
        <f t="shared" si="197"/>
        <v>0</v>
      </c>
      <c r="H335" s="905">
        <f t="shared" si="197"/>
        <v>0</v>
      </c>
      <c r="I335" s="905">
        <f t="shared" si="197"/>
        <v>0</v>
      </c>
      <c r="J335" s="905">
        <f t="shared" si="197"/>
        <v>0</v>
      </c>
      <c r="K335" s="905">
        <f t="shared" si="197"/>
        <v>0</v>
      </c>
      <c r="L335" s="905">
        <f t="shared" si="197"/>
        <v>0</v>
      </c>
      <c r="M335" s="905">
        <f t="shared" si="197"/>
        <v>0</v>
      </c>
      <c r="N335" s="906">
        <f t="shared" si="197"/>
        <v>0</v>
      </c>
    </row>
    <row r="336" spans="1:14" s="889" customFormat="1" ht="15" customHeight="1">
      <c r="A336" s="2753"/>
      <c r="B336" s="2757"/>
      <c r="C336" s="929" t="s">
        <v>2533</v>
      </c>
      <c r="D336" s="699"/>
      <c r="E336" s="903"/>
      <c r="F336" s="904">
        <f t="shared" si="196"/>
        <v>0</v>
      </c>
      <c r="G336" s="905">
        <f t="shared" si="197"/>
        <v>0</v>
      </c>
      <c r="H336" s="905">
        <f t="shared" si="197"/>
        <v>0</v>
      </c>
      <c r="I336" s="905">
        <f t="shared" si="197"/>
        <v>0</v>
      </c>
      <c r="J336" s="905">
        <f t="shared" si="197"/>
        <v>0</v>
      </c>
      <c r="K336" s="905">
        <f t="shared" si="197"/>
        <v>0</v>
      </c>
      <c r="L336" s="905">
        <f t="shared" si="197"/>
        <v>0</v>
      </c>
      <c r="M336" s="905">
        <f t="shared" si="197"/>
        <v>0</v>
      </c>
      <c r="N336" s="906">
        <f t="shared" si="197"/>
        <v>0</v>
      </c>
    </row>
    <row r="337" spans="1:14" s="889" customFormat="1" ht="15" customHeight="1">
      <c r="A337" s="2753"/>
      <c r="B337" s="2758" t="s">
        <v>2534</v>
      </c>
      <c r="C337" s="698" t="s">
        <v>2616</v>
      </c>
      <c r="D337" s="699"/>
      <c r="E337" s="903"/>
      <c r="F337" s="904">
        <f t="shared" si="196"/>
        <v>0</v>
      </c>
      <c r="G337" s="1293">
        <f t="shared" si="197"/>
        <v>0</v>
      </c>
      <c r="H337" s="1293">
        <f t="shared" si="197"/>
        <v>0</v>
      </c>
      <c r="I337" s="1293">
        <f t="shared" si="197"/>
        <v>0</v>
      </c>
      <c r="J337" s="1293">
        <f t="shared" si="197"/>
        <v>0</v>
      </c>
      <c r="K337" s="1293">
        <f t="shared" si="197"/>
        <v>0</v>
      </c>
      <c r="L337" s="1293">
        <f t="shared" si="197"/>
        <v>0</v>
      </c>
      <c r="M337" s="1293">
        <f t="shared" si="197"/>
        <v>0</v>
      </c>
      <c r="N337" s="1294">
        <f t="shared" si="197"/>
        <v>0</v>
      </c>
    </row>
    <row r="338" spans="1:14" s="889" customFormat="1" ht="13.5" customHeight="1">
      <c r="A338" s="2753"/>
      <c r="B338" s="2756"/>
      <c r="C338" s="698" t="s">
        <v>2536</v>
      </c>
      <c r="D338" s="699"/>
      <c r="E338" s="903"/>
      <c r="F338" s="904">
        <f t="shared" si="196"/>
        <v>0</v>
      </c>
      <c r="G338" s="1293">
        <f t="shared" si="197"/>
        <v>0</v>
      </c>
      <c r="H338" s="1293">
        <f t="shared" si="197"/>
        <v>0</v>
      </c>
      <c r="I338" s="1293">
        <f t="shared" si="197"/>
        <v>0</v>
      </c>
      <c r="J338" s="1293">
        <f t="shared" si="197"/>
        <v>0</v>
      </c>
      <c r="K338" s="1293">
        <f t="shared" si="197"/>
        <v>0</v>
      </c>
      <c r="L338" s="1293">
        <f t="shared" si="197"/>
        <v>0</v>
      </c>
      <c r="M338" s="1293">
        <f t="shared" si="197"/>
        <v>0</v>
      </c>
      <c r="N338" s="1294">
        <f t="shared" si="197"/>
        <v>0</v>
      </c>
    </row>
    <row r="339" spans="1:14" s="889" customFormat="1" ht="13.5" customHeight="1">
      <c r="A339" s="2753"/>
      <c r="B339" s="2756"/>
      <c r="C339" s="699" t="s">
        <v>2537</v>
      </c>
      <c r="D339" s="699"/>
      <c r="E339" s="903"/>
      <c r="F339" s="904">
        <f t="shared" si="196"/>
        <v>6298500</v>
      </c>
      <c r="G339" s="1293">
        <f t="shared" si="197"/>
        <v>4296800</v>
      </c>
      <c r="H339" s="1293">
        <f t="shared" si="197"/>
        <v>0</v>
      </c>
      <c r="I339" s="1293">
        <f t="shared" si="197"/>
        <v>2001700</v>
      </c>
      <c r="J339" s="1293">
        <f t="shared" si="197"/>
        <v>0</v>
      </c>
      <c r="K339" s="1293">
        <f t="shared" si="197"/>
        <v>0</v>
      </c>
      <c r="L339" s="1293">
        <f t="shared" si="197"/>
        <v>0</v>
      </c>
      <c r="M339" s="1293">
        <f t="shared" si="197"/>
        <v>0</v>
      </c>
      <c r="N339" s="1294">
        <f t="shared" si="197"/>
        <v>0</v>
      </c>
    </row>
    <row r="340" spans="1:14" s="889" customFormat="1" ht="13.5" customHeight="1">
      <c r="A340" s="2753"/>
      <c r="B340" s="2756"/>
      <c r="C340" s="699" t="s">
        <v>2617</v>
      </c>
      <c r="D340" s="699"/>
      <c r="E340" s="903"/>
      <c r="F340" s="904"/>
      <c r="G340" s="905">
        <f t="shared" si="197"/>
        <v>0</v>
      </c>
      <c r="H340" s="905">
        <f t="shared" si="197"/>
        <v>0</v>
      </c>
      <c r="I340" s="905">
        <f t="shared" si="197"/>
        <v>0</v>
      </c>
      <c r="J340" s="905">
        <f t="shared" si="197"/>
        <v>0</v>
      </c>
      <c r="K340" s="905">
        <f t="shared" si="197"/>
        <v>0</v>
      </c>
      <c r="L340" s="905">
        <f t="shared" si="197"/>
        <v>0</v>
      </c>
      <c r="M340" s="905">
        <f t="shared" si="197"/>
        <v>0</v>
      </c>
      <c r="N340" s="906">
        <f t="shared" si="197"/>
        <v>0</v>
      </c>
    </row>
    <row r="341" spans="1:14" s="889" customFormat="1" ht="13.5" customHeight="1">
      <c r="A341" s="2753"/>
      <c r="B341" s="2756"/>
      <c r="C341" s="699" t="s">
        <v>2539</v>
      </c>
      <c r="D341" s="699"/>
      <c r="E341" s="903"/>
      <c r="F341" s="904"/>
      <c r="G341" s="905">
        <f t="shared" si="197"/>
        <v>0</v>
      </c>
      <c r="H341" s="905">
        <f t="shared" si="197"/>
        <v>0</v>
      </c>
      <c r="I341" s="905">
        <f t="shared" si="197"/>
        <v>0</v>
      </c>
      <c r="J341" s="905">
        <f t="shared" si="197"/>
        <v>0</v>
      </c>
      <c r="K341" s="905">
        <f t="shared" si="197"/>
        <v>0</v>
      </c>
      <c r="L341" s="905">
        <f t="shared" si="197"/>
        <v>0</v>
      </c>
      <c r="M341" s="905">
        <f t="shared" si="197"/>
        <v>0</v>
      </c>
      <c r="N341" s="906">
        <f t="shared" si="197"/>
        <v>0</v>
      </c>
    </row>
    <row r="342" spans="1:14" s="889" customFormat="1" ht="13.5" customHeight="1">
      <c r="A342" s="2753"/>
      <c r="B342" s="2756"/>
      <c r="C342" s="699" t="s">
        <v>2540</v>
      </c>
      <c r="D342" s="699"/>
      <c r="E342" s="903"/>
      <c r="F342" s="904">
        <f t="shared" ref="F342:F352" si="198">SUM(G342:N342)</f>
        <v>0</v>
      </c>
      <c r="G342" s="1293">
        <f t="shared" si="197"/>
        <v>0</v>
      </c>
      <c r="H342" s="1293">
        <f t="shared" si="197"/>
        <v>0</v>
      </c>
      <c r="I342" s="1293">
        <f t="shared" si="197"/>
        <v>0</v>
      </c>
      <c r="J342" s="1293">
        <f t="shared" si="197"/>
        <v>0</v>
      </c>
      <c r="K342" s="1293">
        <f t="shared" si="197"/>
        <v>0</v>
      </c>
      <c r="L342" s="1293">
        <f t="shared" si="197"/>
        <v>0</v>
      </c>
      <c r="M342" s="1293">
        <f t="shared" si="197"/>
        <v>0</v>
      </c>
      <c r="N342" s="1294">
        <f t="shared" si="197"/>
        <v>0</v>
      </c>
    </row>
    <row r="343" spans="1:14" s="889" customFormat="1" ht="13.5" customHeight="1">
      <c r="A343" s="2753"/>
      <c r="B343" s="2756"/>
      <c r="C343" s="930" t="s">
        <v>2541</v>
      </c>
      <c r="D343" s="699"/>
      <c r="E343" s="903"/>
      <c r="F343" s="904">
        <f t="shared" si="198"/>
        <v>0</v>
      </c>
      <c r="G343" s="905">
        <f t="shared" si="197"/>
        <v>0</v>
      </c>
      <c r="H343" s="905">
        <f t="shared" si="197"/>
        <v>0</v>
      </c>
      <c r="I343" s="905">
        <f t="shared" si="197"/>
        <v>0</v>
      </c>
      <c r="J343" s="905">
        <f t="shared" si="197"/>
        <v>0</v>
      </c>
      <c r="K343" s="905">
        <f t="shared" si="197"/>
        <v>0</v>
      </c>
      <c r="L343" s="905">
        <f t="shared" si="197"/>
        <v>0</v>
      </c>
      <c r="M343" s="905">
        <f t="shared" si="197"/>
        <v>0</v>
      </c>
      <c r="N343" s="906">
        <f t="shared" si="197"/>
        <v>0</v>
      </c>
    </row>
    <row r="344" spans="1:14" s="889" customFormat="1" ht="13.5" customHeight="1">
      <c r="A344" s="2753"/>
      <c r="B344" s="2756"/>
      <c r="C344" s="931" t="s">
        <v>2619</v>
      </c>
      <c r="D344" s="699"/>
      <c r="E344" s="903"/>
      <c r="F344" s="904">
        <f t="shared" si="198"/>
        <v>0</v>
      </c>
      <c r="G344" s="905">
        <f t="shared" si="197"/>
        <v>0</v>
      </c>
      <c r="H344" s="905">
        <f t="shared" si="197"/>
        <v>0</v>
      </c>
      <c r="I344" s="905">
        <f t="shared" si="197"/>
        <v>0</v>
      </c>
      <c r="J344" s="905">
        <f t="shared" si="197"/>
        <v>0</v>
      </c>
      <c r="K344" s="905">
        <f t="shared" si="197"/>
        <v>0</v>
      </c>
      <c r="L344" s="905">
        <f t="shared" si="197"/>
        <v>0</v>
      </c>
      <c r="M344" s="905">
        <f t="shared" si="197"/>
        <v>0</v>
      </c>
      <c r="N344" s="906">
        <f t="shared" si="197"/>
        <v>0</v>
      </c>
    </row>
    <row r="345" spans="1:14" s="889" customFormat="1" ht="13.5" customHeight="1">
      <c r="A345" s="2753"/>
      <c r="B345" s="2757"/>
      <c r="C345" s="699" t="s">
        <v>2543</v>
      </c>
      <c r="D345" s="699"/>
      <c r="E345" s="903"/>
      <c r="F345" s="904">
        <f t="shared" si="198"/>
        <v>0</v>
      </c>
      <c r="G345" s="1293">
        <f t="shared" si="197"/>
        <v>0</v>
      </c>
      <c r="H345" s="1293">
        <f t="shared" si="197"/>
        <v>0</v>
      </c>
      <c r="I345" s="1293">
        <f t="shared" si="197"/>
        <v>0</v>
      </c>
      <c r="J345" s="1293">
        <f t="shared" si="197"/>
        <v>0</v>
      </c>
      <c r="K345" s="1293">
        <f t="shared" si="197"/>
        <v>0</v>
      </c>
      <c r="L345" s="1293">
        <f t="shared" si="197"/>
        <v>0</v>
      </c>
      <c r="M345" s="1293">
        <f t="shared" si="197"/>
        <v>0</v>
      </c>
      <c r="N345" s="1294">
        <f t="shared" si="197"/>
        <v>0</v>
      </c>
    </row>
    <row r="346" spans="1:14" s="889" customFormat="1" ht="13.5" customHeight="1">
      <c r="A346" s="2753"/>
      <c r="B346" s="2758" t="s">
        <v>2544</v>
      </c>
      <c r="C346" s="929" t="s">
        <v>2545</v>
      </c>
      <c r="D346" s="699"/>
      <c r="E346" s="903"/>
      <c r="F346" s="904">
        <f t="shared" si="198"/>
        <v>605438</v>
      </c>
      <c r="G346" s="1293">
        <f t="shared" si="197"/>
        <v>97361</v>
      </c>
      <c r="H346" s="1293">
        <f t="shared" si="197"/>
        <v>13658</v>
      </c>
      <c r="I346" s="1293">
        <f t="shared" si="197"/>
        <v>494419</v>
      </c>
      <c r="J346" s="1293">
        <f t="shared" si="197"/>
        <v>0</v>
      </c>
      <c r="K346" s="1293">
        <f t="shared" si="197"/>
        <v>0</v>
      </c>
      <c r="L346" s="1293">
        <f t="shared" si="197"/>
        <v>0</v>
      </c>
      <c r="M346" s="1293">
        <f t="shared" si="197"/>
        <v>0</v>
      </c>
      <c r="N346" s="1294">
        <f t="shared" si="197"/>
        <v>0</v>
      </c>
    </row>
    <row r="347" spans="1:14" s="889" customFormat="1" ht="13.5" customHeight="1">
      <c r="A347" s="2753"/>
      <c r="B347" s="2756"/>
      <c r="C347" s="929" t="s">
        <v>2546</v>
      </c>
      <c r="D347" s="699"/>
      <c r="E347" s="903"/>
      <c r="F347" s="904">
        <f t="shared" si="198"/>
        <v>0</v>
      </c>
      <c r="G347" s="905">
        <f t="shared" si="197"/>
        <v>0</v>
      </c>
      <c r="H347" s="905">
        <f t="shared" si="197"/>
        <v>0</v>
      </c>
      <c r="I347" s="905">
        <f t="shared" si="197"/>
        <v>0</v>
      </c>
      <c r="J347" s="905">
        <f t="shared" si="197"/>
        <v>0</v>
      </c>
      <c r="K347" s="905">
        <f t="shared" si="197"/>
        <v>0</v>
      </c>
      <c r="L347" s="905">
        <f t="shared" si="197"/>
        <v>0</v>
      </c>
      <c r="M347" s="905">
        <f t="shared" si="197"/>
        <v>0</v>
      </c>
      <c r="N347" s="906">
        <f t="shared" si="197"/>
        <v>0</v>
      </c>
    </row>
    <row r="348" spans="1:14" s="889" customFormat="1" ht="13.5" customHeight="1">
      <c r="A348" s="2753"/>
      <c r="B348" s="2756"/>
      <c r="C348" s="699" t="s">
        <v>2547</v>
      </c>
      <c r="D348" s="699"/>
      <c r="E348" s="903"/>
      <c r="F348" s="904">
        <f t="shared" si="198"/>
        <v>0</v>
      </c>
      <c r="G348" s="905">
        <f t="shared" si="197"/>
        <v>0</v>
      </c>
      <c r="H348" s="905">
        <f t="shared" si="197"/>
        <v>0</v>
      </c>
      <c r="I348" s="905">
        <f t="shared" si="197"/>
        <v>0</v>
      </c>
      <c r="J348" s="905">
        <f t="shared" si="197"/>
        <v>0</v>
      </c>
      <c r="K348" s="905">
        <f t="shared" si="197"/>
        <v>0</v>
      </c>
      <c r="L348" s="905">
        <f t="shared" si="197"/>
        <v>0</v>
      </c>
      <c r="M348" s="905">
        <f t="shared" si="197"/>
        <v>0</v>
      </c>
      <c r="N348" s="906">
        <f t="shared" si="197"/>
        <v>0</v>
      </c>
    </row>
    <row r="349" spans="1:14" s="889" customFormat="1" ht="13.5" customHeight="1">
      <c r="A349" s="2753"/>
      <c r="B349" s="2756"/>
      <c r="C349" s="699" t="s">
        <v>2710</v>
      </c>
      <c r="D349" s="699"/>
      <c r="E349" s="903"/>
      <c r="F349" s="904">
        <f t="shared" si="198"/>
        <v>0</v>
      </c>
      <c r="G349" s="1293">
        <f t="shared" ref="G349:N352" si="199">+G133+G42</f>
        <v>0</v>
      </c>
      <c r="H349" s="1293">
        <f t="shared" si="199"/>
        <v>0</v>
      </c>
      <c r="I349" s="1293">
        <f t="shared" si="199"/>
        <v>0</v>
      </c>
      <c r="J349" s="1293">
        <f t="shared" si="199"/>
        <v>0</v>
      </c>
      <c r="K349" s="1293">
        <f t="shared" si="199"/>
        <v>0</v>
      </c>
      <c r="L349" s="1293">
        <f t="shared" si="199"/>
        <v>0</v>
      </c>
      <c r="M349" s="1293">
        <f t="shared" si="199"/>
        <v>0</v>
      </c>
      <c r="N349" s="1294">
        <f t="shared" si="199"/>
        <v>0</v>
      </c>
    </row>
    <row r="350" spans="1:14" s="889" customFormat="1" ht="13.5" customHeight="1">
      <c r="A350" s="2753"/>
      <c r="B350" s="2756"/>
      <c r="C350" s="933" t="s">
        <v>2549</v>
      </c>
      <c r="D350" s="933"/>
      <c r="E350" s="934"/>
      <c r="F350" s="904">
        <f t="shared" si="198"/>
        <v>0</v>
      </c>
      <c r="G350" s="1293">
        <f t="shared" si="199"/>
        <v>0</v>
      </c>
      <c r="H350" s="1293">
        <f t="shared" si="199"/>
        <v>0</v>
      </c>
      <c r="I350" s="1293">
        <f t="shared" si="199"/>
        <v>0</v>
      </c>
      <c r="J350" s="1293">
        <f t="shared" si="199"/>
        <v>0</v>
      </c>
      <c r="K350" s="1293">
        <f t="shared" si="199"/>
        <v>0</v>
      </c>
      <c r="L350" s="1293">
        <f t="shared" si="199"/>
        <v>0</v>
      </c>
      <c r="M350" s="1293">
        <f t="shared" si="199"/>
        <v>0</v>
      </c>
      <c r="N350" s="1294">
        <f t="shared" si="199"/>
        <v>0</v>
      </c>
    </row>
    <row r="351" spans="1:14" s="889" customFormat="1" ht="13.5" customHeight="1">
      <c r="A351" s="2753"/>
      <c r="B351" s="2756"/>
      <c r="C351" s="933" t="s">
        <v>2550</v>
      </c>
      <c r="D351" s="933"/>
      <c r="E351" s="934"/>
      <c r="F351" s="904">
        <f t="shared" si="198"/>
        <v>0</v>
      </c>
      <c r="G351" s="1293">
        <f t="shared" si="199"/>
        <v>0</v>
      </c>
      <c r="H351" s="1293">
        <f t="shared" si="199"/>
        <v>0</v>
      </c>
      <c r="I351" s="1293">
        <f t="shared" si="199"/>
        <v>0</v>
      </c>
      <c r="J351" s="1293">
        <f t="shared" si="199"/>
        <v>0</v>
      </c>
      <c r="K351" s="1293">
        <f t="shared" si="199"/>
        <v>0</v>
      </c>
      <c r="L351" s="1293">
        <f t="shared" si="199"/>
        <v>0</v>
      </c>
      <c r="M351" s="1293">
        <f t="shared" si="199"/>
        <v>0</v>
      </c>
      <c r="N351" s="1294">
        <f t="shared" si="199"/>
        <v>0</v>
      </c>
    </row>
    <row r="352" spans="1:14" s="889" customFormat="1" ht="13.5" customHeight="1">
      <c r="A352" s="2754"/>
      <c r="B352" s="2759"/>
      <c r="C352" s="937" t="s">
        <v>2551</v>
      </c>
      <c r="D352" s="937"/>
      <c r="E352" s="938"/>
      <c r="F352" s="939">
        <f t="shared" si="198"/>
        <v>0</v>
      </c>
      <c r="G352" s="1299">
        <f t="shared" si="199"/>
        <v>0</v>
      </c>
      <c r="H352" s="1299">
        <f t="shared" si="199"/>
        <v>0</v>
      </c>
      <c r="I352" s="1299">
        <f t="shared" si="199"/>
        <v>0</v>
      </c>
      <c r="J352" s="1299">
        <f t="shared" si="199"/>
        <v>0</v>
      </c>
      <c r="K352" s="1299">
        <f t="shared" si="199"/>
        <v>0</v>
      </c>
      <c r="L352" s="1299">
        <f t="shared" si="199"/>
        <v>0</v>
      </c>
      <c r="M352" s="1299">
        <f t="shared" si="199"/>
        <v>0</v>
      </c>
      <c r="N352" s="1300">
        <f t="shared" si="199"/>
        <v>0</v>
      </c>
    </row>
    <row r="353" spans="1:14" s="889" customFormat="1" ht="13.5" customHeight="1">
      <c r="A353" s="1286"/>
      <c r="B353" s="1286"/>
      <c r="C353" s="1090" t="s">
        <v>2620</v>
      </c>
      <c r="D353" s="1090"/>
      <c r="E353" s="916"/>
      <c r="F353" s="1033"/>
      <c r="G353" s="1037"/>
      <c r="H353" s="1037"/>
      <c r="I353" s="1037"/>
      <c r="J353" s="1037"/>
      <c r="K353" s="1037"/>
      <c r="L353" s="1037"/>
      <c r="M353" s="1037"/>
      <c r="N353" s="1091" t="s">
        <v>2711</v>
      </c>
    </row>
    <row r="354" spans="1:14" s="889" customFormat="1" ht="13.5" customHeight="1">
      <c r="A354" s="1286"/>
      <c r="B354" s="1286"/>
      <c r="C354" s="923" t="s">
        <v>2622</v>
      </c>
      <c r="D354" s="923"/>
      <c r="E354" s="916"/>
      <c r="F354" s="1033"/>
      <c r="G354" s="1037"/>
      <c r="H354" s="1037"/>
      <c r="I354" s="1037"/>
      <c r="J354" s="1037"/>
      <c r="K354" s="1037"/>
      <c r="L354" s="1037"/>
      <c r="M354" s="1037"/>
      <c r="N354" s="1091"/>
    </row>
    <row r="355" spans="1:14" s="889" customFormat="1" ht="13.5" customHeight="1">
      <c r="A355" s="870"/>
      <c r="B355" s="871"/>
      <c r="C355" s="871"/>
      <c r="D355" s="2767" t="s">
        <v>2623</v>
      </c>
      <c r="E355" s="2767" t="s">
        <v>2624</v>
      </c>
      <c r="F355" s="1083" t="s">
        <v>2505</v>
      </c>
      <c r="G355" s="1295" t="str">
        <f>+G302</f>
        <v>工事6</v>
      </c>
      <c r="H355" s="1084" t="str">
        <f t="shared" ref="H355:N355" si="200">+H302</f>
        <v>工事7</v>
      </c>
      <c r="I355" s="1084" t="str">
        <f t="shared" si="200"/>
        <v>工事8</v>
      </c>
      <c r="J355" s="1084">
        <f t="shared" si="200"/>
        <v>0</v>
      </c>
      <c r="K355" s="1084">
        <f t="shared" si="200"/>
        <v>0</v>
      </c>
      <c r="L355" s="1084">
        <f t="shared" si="200"/>
        <v>0</v>
      </c>
      <c r="M355" s="1084">
        <f t="shared" si="200"/>
        <v>0</v>
      </c>
      <c r="N355" s="1085">
        <f t="shared" si="200"/>
        <v>0</v>
      </c>
    </row>
    <row r="356" spans="1:14" s="889" customFormat="1" ht="13.5" customHeight="1">
      <c r="A356" s="2769" t="s">
        <v>2625</v>
      </c>
      <c r="B356" s="2770"/>
      <c r="C356" s="2771"/>
      <c r="D356" s="2768"/>
      <c r="E356" s="2768"/>
      <c r="F356" s="1092"/>
      <c r="G356" s="1093"/>
      <c r="H356" s="1093"/>
      <c r="I356" s="1093"/>
      <c r="J356" s="1093"/>
      <c r="K356" s="1093"/>
      <c r="L356" s="1093"/>
      <c r="M356" s="1093"/>
      <c r="N356" s="1094"/>
    </row>
    <row r="357" spans="1:14" s="889" customFormat="1" ht="13.5" customHeight="1">
      <c r="A357" s="2772"/>
      <c r="B357" s="1095" t="s">
        <v>2712</v>
      </c>
      <c r="C357" s="1096"/>
      <c r="D357" s="1097"/>
      <c r="E357" s="1098"/>
      <c r="F357" s="1099">
        <f t="shared" ref="F357:F364" si="201">SUM(G357:N357)</f>
        <v>205645177</v>
      </c>
      <c r="G357" s="1100">
        <f>SUM(G333:G345)+G349</f>
        <v>41803361</v>
      </c>
      <c r="H357" s="1100">
        <f t="shared" ref="H357:N357" si="202">SUM(H333:H345)+H349</f>
        <v>27412900</v>
      </c>
      <c r="I357" s="1100">
        <f t="shared" si="202"/>
        <v>136428916</v>
      </c>
      <c r="J357" s="1100">
        <f t="shared" si="202"/>
        <v>0</v>
      </c>
      <c r="K357" s="1100">
        <f t="shared" si="202"/>
        <v>0</v>
      </c>
      <c r="L357" s="1100">
        <f t="shared" si="202"/>
        <v>0</v>
      </c>
      <c r="M357" s="1100">
        <f t="shared" si="202"/>
        <v>0</v>
      </c>
      <c r="N357" s="1100">
        <f t="shared" si="202"/>
        <v>0</v>
      </c>
    </row>
    <row r="358" spans="1:14" s="889" customFormat="1" ht="13.5" customHeight="1">
      <c r="A358" s="2773"/>
      <c r="B358" s="2758" t="s">
        <v>2529</v>
      </c>
      <c r="C358" s="1101" t="s">
        <v>2530</v>
      </c>
      <c r="D358" s="1102">
        <v>1</v>
      </c>
      <c r="E358" s="1103" t="s">
        <v>2627</v>
      </c>
      <c r="F358" s="904">
        <f t="shared" si="201"/>
        <v>0</v>
      </c>
      <c r="G358" s="905">
        <f t="shared" ref="G358:N358" si="203">IF(G304="積上げ",0,+G333)</f>
        <v>0</v>
      </c>
      <c r="H358" s="905">
        <f t="shared" si="203"/>
        <v>0</v>
      </c>
      <c r="I358" s="905">
        <f t="shared" si="203"/>
        <v>0</v>
      </c>
      <c r="J358" s="905">
        <f t="shared" si="203"/>
        <v>0</v>
      </c>
      <c r="K358" s="905">
        <f t="shared" si="203"/>
        <v>0</v>
      </c>
      <c r="L358" s="905">
        <f t="shared" si="203"/>
        <v>0</v>
      </c>
      <c r="M358" s="905">
        <f t="shared" si="203"/>
        <v>0</v>
      </c>
      <c r="N358" s="905">
        <f t="shared" si="203"/>
        <v>0</v>
      </c>
    </row>
    <row r="359" spans="1:14" s="889" customFormat="1" ht="13.5" customHeight="1">
      <c r="A359" s="2773"/>
      <c r="B359" s="2756"/>
      <c r="C359" s="1101" t="s">
        <v>2531</v>
      </c>
      <c r="D359" s="1102">
        <v>1</v>
      </c>
      <c r="E359" s="1103" t="s">
        <v>2627</v>
      </c>
      <c r="F359" s="904">
        <f t="shared" si="201"/>
        <v>199346677</v>
      </c>
      <c r="G359" s="905">
        <f t="shared" ref="G359:N359" si="204">IF(G304="積上げ",0,+G334)</f>
        <v>37506561</v>
      </c>
      <c r="H359" s="905">
        <f t="shared" si="204"/>
        <v>27412900</v>
      </c>
      <c r="I359" s="905">
        <f t="shared" si="204"/>
        <v>134427216</v>
      </c>
      <c r="J359" s="905">
        <f t="shared" si="204"/>
        <v>0</v>
      </c>
      <c r="K359" s="905">
        <f t="shared" si="204"/>
        <v>0</v>
      </c>
      <c r="L359" s="905">
        <f t="shared" si="204"/>
        <v>0</v>
      </c>
      <c r="M359" s="905">
        <f t="shared" si="204"/>
        <v>0</v>
      </c>
      <c r="N359" s="905">
        <f t="shared" si="204"/>
        <v>0</v>
      </c>
    </row>
    <row r="360" spans="1:14" s="889" customFormat="1" ht="14">
      <c r="A360" s="2773"/>
      <c r="B360" s="2756"/>
      <c r="C360" s="1101" t="s">
        <v>2628</v>
      </c>
      <c r="D360" s="1102">
        <v>0.9</v>
      </c>
      <c r="E360" s="1103" t="s">
        <v>2627</v>
      </c>
      <c r="F360" s="904">
        <f t="shared" si="201"/>
        <v>0</v>
      </c>
      <c r="G360" s="905">
        <f t="shared" ref="G360:N360" si="205">IF(G304="積上げ",0,+G335)</f>
        <v>0</v>
      </c>
      <c r="H360" s="905">
        <f t="shared" si="205"/>
        <v>0</v>
      </c>
      <c r="I360" s="905">
        <f t="shared" si="205"/>
        <v>0</v>
      </c>
      <c r="J360" s="905">
        <f t="shared" si="205"/>
        <v>0</v>
      </c>
      <c r="K360" s="905">
        <f t="shared" si="205"/>
        <v>0</v>
      </c>
      <c r="L360" s="905">
        <f t="shared" si="205"/>
        <v>0</v>
      </c>
      <c r="M360" s="905">
        <f t="shared" si="205"/>
        <v>0</v>
      </c>
      <c r="N360" s="905">
        <f t="shared" si="205"/>
        <v>0</v>
      </c>
    </row>
    <row r="361" spans="1:14" s="889" customFormat="1" ht="14">
      <c r="A361" s="2773"/>
      <c r="B361" s="2757"/>
      <c r="C361" s="1101" t="s">
        <v>2629</v>
      </c>
      <c r="D361" s="1102">
        <v>0.9</v>
      </c>
      <c r="E361" s="1103" t="s">
        <v>2627</v>
      </c>
      <c r="F361" s="904">
        <f t="shared" si="201"/>
        <v>0</v>
      </c>
      <c r="G361" s="905">
        <f t="shared" ref="G361:N361" si="206">IF(G304="積上げ",0,+G336)</f>
        <v>0</v>
      </c>
      <c r="H361" s="905">
        <f t="shared" si="206"/>
        <v>0</v>
      </c>
      <c r="I361" s="905">
        <f t="shared" si="206"/>
        <v>0</v>
      </c>
      <c r="J361" s="905">
        <f t="shared" si="206"/>
        <v>0</v>
      </c>
      <c r="K361" s="905">
        <f t="shared" si="206"/>
        <v>0</v>
      </c>
      <c r="L361" s="905">
        <f t="shared" si="206"/>
        <v>0</v>
      </c>
      <c r="M361" s="905">
        <f t="shared" si="206"/>
        <v>0</v>
      </c>
      <c r="N361" s="905">
        <f t="shared" si="206"/>
        <v>0</v>
      </c>
    </row>
    <row r="362" spans="1:14" s="889" customFormat="1" ht="14">
      <c r="A362" s="2773"/>
      <c r="B362" s="2758" t="s">
        <v>2534</v>
      </c>
      <c r="C362" s="1101" t="s">
        <v>2630</v>
      </c>
      <c r="D362" s="1102">
        <v>1</v>
      </c>
      <c r="E362" s="1104">
        <v>0.01</v>
      </c>
      <c r="F362" s="904">
        <f t="shared" si="201"/>
        <v>0</v>
      </c>
      <c r="G362" s="905">
        <f t="shared" ref="G362:N362" si="207">IF(G304="積上げ",0,+G337)</f>
        <v>0</v>
      </c>
      <c r="H362" s="905">
        <f t="shared" si="207"/>
        <v>0</v>
      </c>
      <c r="I362" s="905">
        <f t="shared" si="207"/>
        <v>0</v>
      </c>
      <c r="J362" s="905">
        <f t="shared" si="207"/>
        <v>0</v>
      </c>
      <c r="K362" s="905">
        <f t="shared" si="207"/>
        <v>0</v>
      </c>
      <c r="L362" s="905">
        <f t="shared" si="207"/>
        <v>0</v>
      </c>
      <c r="M362" s="905">
        <f t="shared" si="207"/>
        <v>0</v>
      </c>
      <c r="N362" s="905">
        <f t="shared" si="207"/>
        <v>0</v>
      </c>
    </row>
    <row r="363" spans="1:14" s="889" customFormat="1" ht="14">
      <c r="A363" s="2773"/>
      <c r="B363" s="2756"/>
      <c r="C363" s="1101" t="s">
        <v>2631</v>
      </c>
      <c r="D363" s="1102">
        <v>1</v>
      </c>
      <c r="E363" s="1104">
        <v>0.01</v>
      </c>
      <c r="F363" s="904">
        <f t="shared" si="201"/>
        <v>0</v>
      </c>
      <c r="G363" s="905">
        <f t="shared" ref="G363:N363" si="208">IF(G304="積上げ",0,G338)</f>
        <v>0</v>
      </c>
      <c r="H363" s="905">
        <f t="shared" si="208"/>
        <v>0</v>
      </c>
      <c r="I363" s="905">
        <f t="shared" si="208"/>
        <v>0</v>
      </c>
      <c r="J363" s="905">
        <f t="shared" si="208"/>
        <v>0</v>
      </c>
      <c r="K363" s="905">
        <f t="shared" si="208"/>
        <v>0</v>
      </c>
      <c r="L363" s="905">
        <f t="shared" si="208"/>
        <v>0</v>
      </c>
      <c r="M363" s="905">
        <f t="shared" si="208"/>
        <v>0</v>
      </c>
      <c r="N363" s="905">
        <f t="shared" si="208"/>
        <v>0</v>
      </c>
    </row>
    <row r="364" spans="1:14" s="889" customFormat="1" ht="14">
      <c r="A364" s="2773"/>
      <c r="B364" s="2756"/>
      <c r="C364" s="1101" t="s">
        <v>2537</v>
      </c>
      <c r="D364" s="1102">
        <v>1</v>
      </c>
      <c r="E364" s="1104">
        <v>0.01</v>
      </c>
      <c r="F364" s="904">
        <f t="shared" si="201"/>
        <v>6298500</v>
      </c>
      <c r="G364" s="905">
        <f t="shared" ref="G364:N364" si="209">IF(G304="積上げ",0,G339)</f>
        <v>4296800</v>
      </c>
      <c r="H364" s="905">
        <f t="shared" si="209"/>
        <v>0</v>
      </c>
      <c r="I364" s="905">
        <f t="shared" si="209"/>
        <v>2001700</v>
      </c>
      <c r="J364" s="905">
        <f t="shared" si="209"/>
        <v>0</v>
      </c>
      <c r="K364" s="905">
        <f t="shared" si="209"/>
        <v>0</v>
      </c>
      <c r="L364" s="905">
        <f t="shared" si="209"/>
        <v>0</v>
      </c>
      <c r="M364" s="905">
        <f t="shared" si="209"/>
        <v>0</v>
      </c>
      <c r="N364" s="905">
        <f t="shared" si="209"/>
        <v>0</v>
      </c>
    </row>
    <row r="365" spans="1:14" s="889" customFormat="1" ht="14">
      <c r="A365" s="2773"/>
      <c r="B365" s="2756"/>
      <c r="C365" s="1101" t="s">
        <v>2617</v>
      </c>
      <c r="D365" s="1102"/>
      <c r="E365" s="1104"/>
      <c r="F365" s="904"/>
      <c r="G365" s="905"/>
      <c r="H365" s="905"/>
      <c r="I365" s="905"/>
      <c r="J365" s="905"/>
      <c r="K365" s="905"/>
      <c r="L365" s="905"/>
      <c r="M365" s="905"/>
      <c r="N365" s="905"/>
    </row>
    <row r="366" spans="1:14" s="889" customFormat="1" ht="14">
      <c r="A366" s="2773"/>
      <c r="B366" s="2756"/>
      <c r="C366" s="1101" t="s">
        <v>2539</v>
      </c>
      <c r="D366" s="1102"/>
      <c r="E366" s="1104"/>
      <c r="F366" s="904"/>
      <c r="G366" s="905"/>
      <c r="H366" s="905"/>
      <c r="I366" s="905"/>
      <c r="J366" s="905"/>
      <c r="K366" s="905"/>
      <c r="L366" s="905"/>
      <c r="M366" s="905"/>
      <c r="N366" s="905"/>
    </row>
    <row r="367" spans="1:14" s="889" customFormat="1" ht="14">
      <c r="A367" s="2773"/>
      <c r="B367" s="2756"/>
      <c r="C367" s="1101" t="s">
        <v>2540</v>
      </c>
      <c r="D367" s="1102">
        <v>1</v>
      </c>
      <c r="E367" s="1104">
        <v>0.01</v>
      </c>
      <c r="F367" s="904">
        <f>SUM(G367:N367)</f>
        <v>0</v>
      </c>
      <c r="G367" s="905">
        <f t="shared" ref="G367:N367" si="210">IF(G304="積上げ",0,+G342)</f>
        <v>0</v>
      </c>
      <c r="H367" s="905">
        <f t="shared" si="210"/>
        <v>0</v>
      </c>
      <c r="I367" s="905">
        <f t="shared" si="210"/>
        <v>0</v>
      </c>
      <c r="J367" s="905">
        <f t="shared" si="210"/>
        <v>0</v>
      </c>
      <c r="K367" s="905">
        <f t="shared" si="210"/>
        <v>0</v>
      </c>
      <c r="L367" s="905">
        <f t="shared" si="210"/>
        <v>0</v>
      </c>
      <c r="M367" s="905">
        <f t="shared" si="210"/>
        <v>0</v>
      </c>
      <c r="N367" s="905">
        <f t="shared" si="210"/>
        <v>0</v>
      </c>
    </row>
    <row r="368" spans="1:14" s="889" customFormat="1" ht="14">
      <c r="A368" s="2773"/>
      <c r="B368" s="2756"/>
      <c r="C368" s="1105" t="s">
        <v>2541</v>
      </c>
      <c r="D368" s="1102">
        <v>1</v>
      </c>
      <c r="E368" s="1104">
        <v>0.01</v>
      </c>
      <c r="F368" s="904">
        <f>SUM(G368:N368)</f>
        <v>0</v>
      </c>
      <c r="G368" s="905">
        <f t="shared" ref="G368:N368" si="211">IF(G304="積上げ",0,+G343)</f>
        <v>0</v>
      </c>
      <c r="H368" s="905">
        <f t="shared" si="211"/>
        <v>0</v>
      </c>
      <c r="I368" s="905">
        <f t="shared" si="211"/>
        <v>0</v>
      </c>
      <c r="J368" s="905">
        <f t="shared" si="211"/>
        <v>0</v>
      </c>
      <c r="K368" s="905">
        <f t="shared" si="211"/>
        <v>0</v>
      </c>
      <c r="L368" s="905">
        <f t="shared" si="211"/>
        <v>0</v>
      </c>
      <c r="M368" s="905">
        <f t="shared" si="211"/>
        <v>0</v>
      </c>
      <c r="N368" s="905">
        <f t="shared" si="211"/>
        <v>0</v>
      </c>
    </row>
    <row r="369" spans="1:14" s="889" customFormat="1" ht="14">
      <c r="A369" s="2773"/>
      <c r="B369" s="2756"/>
      <c r="C369" s="1105" t="s">
        <v>2619</v>
      </c>
      <c r="D369" s="1102">
        <v>1</v>
      </c>
      <c r="E369" s="1104">
        <v>0.01</v>
      </c>
      <c r="F369" s="904">
        <f>SUM(G369:N369)</f>
        <v>0</v>
      </c>
      <c r="G369" s="905">
        <f t="shared" ref="G369:N369" si="212">IF(G304="積上げ",0,+G344)</f>
        <v>0</v>
      </c>
      <c r="H369" s="905">
        <f t="shared" si="212"/>
        <v>0</v>
      </c>
      <c r="I369" s="905">
        <f t="shared" si="212"/>
        <v>0</v>
      </c>
      <c r="J369" s="905">
        <f t="shared" si="212"/>
        <v>0</v>
      </c>
      <c r="K369" s="905">
        <f t="shared" si="212"/>
        <v>0</v>
      </c>
      <c r="L369" s="905">
        <f t="shared" si="212"/>
        <v>0</v>
      </c>
      <c r="M369" s="905">
        <f t="shared" si="212"/>
        <v>0</v>
      </c>
      <c r="N369" s="905">
        <f t="shared" si="212"/>
        <v>0</v>
      </c>
    </row>
    <row r="370" spans="1:14" s="889" customFormat="1" ht="14">
      <c r="A370" s="2773"/>
      <c r="B370" s="2757"/>
      <c r="C370" s="1101" t="s">
        <v>2543</v>
      </c>
      <c r="D370" s="1102">
        <v>1</v>
      </c>
      <c r="E370" s="1104">
        <v>0.01</v>
      </c>
      <c r="F370" s="904">
        <f>SUM(G370:N370)</f>
        <v>0</v>
      </c>
      <c r="G370" s="905">
        <f t="shared" ref="G370:N370" si="213">IF(G304="積上げ",0,+G345)</f>
        <v>0</v>
      </c>
      <c r="H370" s="905">
        <f t="shared" si="213"/>
        <v>0</v>
      </c>
      <c r="I370" s="905">
        <f t="shared" si="213"/>
        <v>0</v>
      </c>
      <c r="J370" s="905">
        <f t="shared" si="213"/>
        <v>0</v>
      </c>
      <c r="K370" s="905">
        <f t="shared" si="213"/>
        <v>0</v>
      </c>
      <c r="L370" s="905">
        <f t="shared" si="213"/>
        <v>0</v>
      </c>
      <c r="M370" s="905">
        <f t="shared" si="213"/>
        <v>0</v>
      </c>
      <c r="N370" s="905">
        <f t="shared" si="213"/>
        <v>0</v>
      </c>
    </row>
    <row r="371" spans="1:14" s="889" customFormat="1" ht="14">
      <c r="A371" s="2774"/>
      <c r="B371" s="1106" t="s">
        <v>2632</v>
      </c>
      <c r="C371" s="1132" t="s">
        <v>2713</v>
      </c>
      <c r="D371" s="1108">
        <v>1</v>
      </c>
      <c r="E371" s="1109">
        <v>0</v>
      </c>
      <c r="F371" s="939">
        <f>SUM(G371:N371)</f>
        <v>605438</v>
      </c>
      <c r="G371" s="1064">
        <f>IF(G304="積上げ",0,SUM(G349:G352)+G346)</f>
        <v>97361</v>
      </c>
      <c r="H371" s="1064">
        <f t="shared" ref="H371:N371" si="214">IF(H304="積上げ",0,SUM(H349:H352)+H346)</f>
        <v>13658</v>
      </c>
      <c r="I371" s="1064">
        <f t="shared" si="214"/>
        <v>494419</v>
      </c>
      <c r="J371" s="1064">
        <f t="shared" si="214"/>
        <v>0</v>
      </c>
      <c r="K371" s="1064">
        <f t="shared" si="214"/>
        <v>0</v>
      </c>
      <c r="L371" s="1064">
        <f t="shared" si="214"/>
        <v>0</v>
      </c>
      <c r="M371" s="1064">
        <f t="shared" si="214"/>
        <v>0</v>
      </c>
      <c r="N371" s="1064">
        <f t="shared" si="214"/>
        <v>0</v>
      </c>
    </row>
    <row r="372" spans="1:14" s="889" customFormat="1" ht="14">
      <c r="A372" s="1110"/>
      <c r="B372" s="1111"/>
      <c r="C372" s="1112"/>
      <c r="D372" s="2775"/>
      <c r="E372" s="2775"/>
      <c r="F372" s="1099"/>
      <c r="G372" s="1100"/>
      <c r="H372" s="1100"/>
      <c r="I372" s="1100"/>
      <c r="J372" s="1100"/>
      <c r="K372" s="1100"/>
      <c r="L372" s="1100"/>
      <c r="M372" s="1100"/>
      <c r="N372" s="1113"/>
    </row>
    <row r="373" spans="1:14" s="889" customFormat="1" ht="14">
      <c r="A373" s="2769" t="s">
        <v>2634</v>
      </c>
      <c r="B373" s="2770"/>
      <c r="C373" s="2771"/>
      <c r="D373" s="2776"/>
      <c r="E373" s="2776"/>
      <c r="F373" s="1092"/>
      <c r="G373" s="1093"/>
      <c r="H373" s="1093"/>
      <c r="I373" s="1093"/>
      <c r="J373" s="1093"/>
      <c r="K373" s="1093"/>
      <c r="L373" s="1093"/>
      <c r="M373" s="1093"/>
      <c r="N373" s="1094"/>
    </row>
    <row r="374" spans="1:14" s="889" customFormat="1" ht="14">
      <c r="A374" s="2772"/>
      <c r="B374" s="2755" t="s">
        <v>2529</v>
      </c>
      <c r="C374" s="1114" t="s">
        <v>2530</v>
      </c>
      <c r="D374" s="1115"/>
      <c r="E374" s="1116" t="s">
        <v>2627</v>
      </c>
      <c r="F374" s="1117" t="s">
        <v>2635</v>
      </c>
      <c r="G374" s="1118">
        <f t="shared" ref="G374:N374" si="215">IF(G358=0,0,IF(G306="有り",+G479/100,G480/100))</f>
        <v>0</v>
      </c>
      <c r="H374" s="1118">
        <f t="shared" si="215"/>
        <v>0</v>
      </c>
      <c r="I374" s="1118">
        <f t="shared" si="215"/>
        <v>0</v>
      </c>
      <c r="J374" s="1118">
        <f t="shared" si="215"/>
        <v>0</v>
      </c>
      <c r="K374" s="1118">
        <f t="shared" si="215"/>
        <v>0</v>
      </c>
      <c r="L374" s="1118">
        <f t="shared" si="215"/>
        <v>0</v>
      </c>
      <c r="M374" s="1118">
        <f t="shared" si="215"/>
        <v>0</v>
      </c>
      <c r="N374" s="1119">
        <f t="shared" si="215"/>
        <v>0</v>
      </c>
    </row>
    <row r="375" spans="1:14" s="889" customFormat="1" ht="14">
      <c r="A375" s="2773"/>
      <c r="B375" s="2756"/>
      <c r="C375" s="1120"/>
      <c r="D375" s="1121">
        <f>+D358</f>
        <v>1</v>
      </c>
      <c r="E375" s="1122" t="s">
        <v>2627</v>
      </c>
      <c r="F375" s="1055">
        <f>SUM(G375:N375)</f>
        <v>0</v>
      </c>
      <c r="G375" s="1071">
        <f t="shared" ref="G375:N375" si="216">ROUNDDOWN(G358*G374*$D375,0)</f>
        <v>0</v>
      </c>
      <c r="H375" s="1071">
        <f t="shared" si="216"/>
        <v>0</v>
      </c>
      <c r="I375" s="1071">
        <f t="shared" si="216"/>
        <v>0</v>
      </c>
      <c r="J375" s="1071">
        <f t="shared" si="216"/>
        <v>0</v>
      </c>
      <c r="K375" s="1071">
        <f t="shared" si="216"/>
        <v>0</v>
      </c>
      <c r="L375" s="1071">
        <f t="shared" si="216"/>
        <v>0</v>
      </c>
      <c r="M375" s="1071">
        <f t="shared" si="216"/>
        <v>0</v>
      </c>
      <c r="N375" s="1072">
        <f t="shared" si="216"/>
        <v>0</v>
      </c>
    </row>
    <row r="376" spans="1:14" s="889" customFormat="1" ht="14">
      <c r="A376" s="2773"/>
      <c r="B376" s="2756"/>
      <c r="C376" s="1123" t="s">
        <v>2531</v>
      </c>
      <c r="D376" s="1124"/>
      <c r="E376" s="1122" t="s">
        <v>2627</v>
      </c>
      <c r="F376" s="1125" t="s">
        <v>2635</v>
      </c>
      <c r="G376" s="1126">
        <f t="shared" ref="G376:N376" si="217">IF(G359=0,0,IF(G306="有り",G488/100,+G489/100))</f>
        <v>3.1899999999999998E-2</v>
      </c>
      <c r="H376" s="1126">
        <f t="shared" si="217"/>
        <v>2.7699999999999999E-2</v>
      </c>
      <c r="I376" s="1126">
        <f t="shared" si="217"/>
        <v>3.1899999999999998E-2</v>
      </c>
      <c r="J376" s="1126">
        <f t="shared" si="217"/>
        <v>0</v>
      </c>
      <c r="K376" s="1126">
        <f t="shared" si="217"/>
        <v>0</v>
      </c>
      <c r="L376" s="1126">
        <f t="shared" si="217"/>
        <v>0</v>
      </c>
      <c r="M376" s="1126">
        <f t="shared" si="217"/>
        <v>0</v>
      </c>
      <c r="N376" s="1127">
        <f t="shared" si="217"/>
        <v>0</v>
      </c>
    </row>
    <row r="377" spans="1:14" s="889" customFormat="1" ht="14">
      <c r="A377" s="2773"/>
      <c r="B377" s="2756"/>
      <c r="C377" s="1120"/>
      <c r="D377" s="1128">
        <f t="shared" ref="D377:D382" si="218">+D359</f>
        <v>1</v>
      </c>
      <c r="E377" s="1122" t="s">
        <v>2627</v>
      </c>
      <c r="F377" s="1055">
        <f>SUM(G377:N377)</f>
        <v>6244024</v>
      </c>
      <c r="G377" s="1071">
        <f t="shared" ref="G377:N377" si="219">ROUNDDOWN(G359*G376*$D377,0)</f>
        <v>1196459</v>
      </c>
      <c r="H377" s="1071">
        <f t="shared" si="219"/>
        <v>759337</v>
      </c>
      <c r="I377" s="1071">
        <f t="shared" si="219"/>
        <v>4288228</v>
      </c>
      <c r="J377" s="1071">
        <f t="shared" si="219"/>
        <v>0</v>
      </c>
      <c r="K377" s="1071">
        <f t="shared" si="219"/>
        <v>0</v>
      </c>
      <c r="L377" s="1071">
        <f t="shared" si="219"/>
        <v>0</v>
      </c>
      <c r="M377" s="1071">
        <f t="shared" si="219"/>
        <v>0</v>
      </c>
      <c r="N377" s="1072">
        <f t="shared" si="219"/>
        <v>0</v>
      </c>
    </row>
    <row r="378" spans="1:14" s="889" customFormat="1" ht="14">
      <c r="A378" s="2773"/>
      <c r="B378" s="2756"/>
      <c r="C378" s="1101" t="s">
        <v>2553</v>
      </c>
      <c r="D378" s="1129">
        <v>0.9</v>
      </c>
      <c r="E378" s="1122" t="s">
        <v>2627</v>
      </c>
      <c r="F378" s="1055">
        <f>SUM(G378:N378)</f>
        <v>0</v>
      </c>
      <c r="G378" s="1071">
        <f t="shared" ref="G378:N378" si="220">ROUNDDOWN(G360*G374*$D378,0)</f>
        <v>0</v>
      </c>
      <c r="H378" s="1071">
        <f t="shared" si="220"/>
        <v>0</v>
      </c>
      <c r="I378" s="1071">
        <f t="shared" si="220"/>
        <v>0</v>
      </c>
      <c r="J378" s="1071">
        <f t="shared" si="220"/>
        <v>0</v>
      </c>
      <c r="K378" s="1071">
        <f t="shared" si="220"/>
        <v>0</v>
      </c>
      <c r="L378" s="1071">
        <f t="shared" si="220"/>
        <v>0</v>
      </c>
      <c r="M378" s="1071">
        <f t="shared" si="220"/>
        <v>0</v>
      </c>
      <c r="N378" s="1072">
        <f t="shared" si="220"/>
        <v>0</v>
      </c>
    </row>
    <row r="379" spans="1:14" s="889" customFormat="1" ht="14">
      <c r="A379" s="2773"/>
      <c r="B379" s="2757"/>
      <c r="C379" s="1101" t="s">
        <v>2554</v>
      </c>
      <c r="D379" s="1129">
        <v>0.9</v>
      </c>
      <c r="E379" s="1122" t="s">
        <v>2627</v>
      </c>
      <c r="F379" s="1055">
        <f>SUM(G379:N379)</f>
        <v>0</v>
      </c>
      <c r="G379" s="1071">
        <f t="shared" ref="G379:N379" si="221">ROUNDDOWN(G361*G376*$D379,0)</f>
        <v>0</v>
      </c>
      <c r="H379" s="1071">
        <f t="shared" si="221"/>
        <v>0</v>
      </c>
      <c r="I379" s="1071">
        <f t="shared" si="221"/>
        <v>0</v>
      </c>
      <c r="J379" s="1071">
        <f t="shared" si="221"/>
        <v>0</v>
      </c>
      <c r="K379" s="1071">
        <f t="shared" si="221"/>
        <v>0</v>
      </c>
      <c r="L379" s="1071">
        <f t="shared" si="221"/>
        <v>0</v>
      </c>
      <c r="M379" s="1071">
        <f t="shared" si="221"/>
        <v>0</v>
      </c>
      <c r="N379" s="1072">
        <f t="shared" si="221"/>
        <v>0</v>
      </c>
    </row>
    <row r="380" spans="1:14" s="889" customFormat="1" ht="14">
      <c r="A380" s="2773"/>
      <c r="B380" s="2758" t="s">
        <v>2534</v>
      </c>
      <c r="C380" s="1101" t="s">
        <v>2630</v>
      </c>
      <c r="D380" s="1129">
        <f>+D362</f>
        <v>1</v>
      </c>
      <c r="E380" s="1104">
        <f>+E362</f>
        <v>0.01</v>
      </c>
      <c r="F380" s="904">
        <v>0</v>
      </c>
      <c r="G380" s="1071">
        <f t="shared" ref="G380:N389" si="222">ROUNDDOWN(G362*$E380*$D380,0)</f>
        <v>0</v>
      </c>
      <c r="H380" s="1071">
        <f t="shared" si="222"/>
        <v>0</v>
      </c>
      <c r="I380" s="1071">
        <f t="shared" si="222"/>
        <v>0</v>
      </c>
      <c r="J380" s="1071">
        <f t="shared" si="222"/>
        <v>0</v>
      </c>
      <c r="K380" s="1071">
        <f t="shared" si="222"/>
        <v>0</v>
      </c>
      <c r="L380" s="1071">
        <f t="shared" si="222"/>
        <v>0</v>
      </c>
      <c r="M380" s="1071">
        <f t="shared" si="222"/>
        <v>0</v>
      </c>
      <c r="N380" s="1071">
        <f t="shared" si="222"/>
        <v>0</v>
      </c>
    </row>
    <row r="381" spans="1:14" s="889" customFormat="1" ht="14">
      <c r="A381" s="2773"/>
      <c r="B381" s="2756"/>
      <c r="C381" s="1101" t="s">
        <v>2636</v>
      </c>
      <c r="D381" s="1129">
        <f t="shared" si="218"/>
        <v>1</v>
      </c>
      <c r="E381" s="1104">
        <f>+E363</f>
        <v>0.01</v>
      </c>
      <c r="F381" s="904">
        <v>0</v>
      </c>
      <c r="G381" s="1071">
        <f t="shared" si="222"/>
        <v>0</v>
      </c>
      <c r="H381" s="1071">
        <f t="shared" si="222"/>
        <v>0</v>
      </c>
      <c r="I381" s="1071">
        <f t="shared" si="222"/>
        <v>0</v>
      </c>
      <c r="J381" s="1071">
        <f t="shared" si="222"/>
        <v>0</v>
      </c>
      <c r="K381" s="1071">
        <f t="shared" si="222"/>
        <v>0</v>
      </c>
      <c r="L381" s="1071">
        <f t="shared" si="222"/>
        <v>0</v>
      </c>
      <c r="M381" s="1071">
        <f t="shared" si="222"/>
        <v>0</v>
      </c>
      <c r="N381" s="1071">
        <f t="shared" si="222"/>
        <v>0</v>
      </c>
    </row>
    <row r="382" spans="1:14" s="889" customFormat="1" ht="14">
      <c r="A382" s="2773"/>
      <c r="B382" s="2756"/>
      <c r="C382" s="1101" t="s">
        <v>2537</v>
      </c>
      <c r="D382" s="1129">
        <f t="shared" si="218"/>
        <v>1</v>
      </c>
      <c r="E382" s="1104">
        <f>+E364</f>
        <v>0.01</v>
      </c>
      <c r="F382" s="904">
        <v>0</v>
      </c>
      <c r="G382" s="1071">
        <f t="shared" si="222"/>
        <v>42968</v>
      </c>
      <c r="H382" s="1071">
        <f t="shared" si="222"/>
        <v>0</v>
      </c>
      <c r="I382" s="1071">
        <f t="shared" si="222"/>
        <v>20017</v>
      </c>
      <c r="J382" s="1071">
        <f t="shared" si="222"/>
        <v>0</v>
      </c>
      <c r="K382" s="1071">
        <f t="shared" si="222"/>
        <v>0</v>
      </c>
      <c r="L382" s="1071">
        <f t="shared" si="222"/>
        <v>0</v>
      </c>
      <c r="M382" s="1071">
        <f t="shared" si="222"/>
        <v>0</v>
      </c>
      <c r="N382" s="1071">
        <f t="shared" si="222"/>
        <v>0</v>
      </c>
    </row>
    <row r="383" spans="1:14" s="889" customFormat="1" ht="14">
      <c r="A383" s="2773"/>
      <c r="B383" s="2756"/>
      <c r="C383" s="1101" t="s">
        <v>2637</v>
      </c>
      <c r="D383" s="1129"/>
      <c r="E383" s="1104"/>
      <c r="F383" s="904"/>
      <c r="G383" s="1071"/>
      <c r="H383" s="1071"/>
      <c r="I383" s="1071"/>
      <c r="J383" s="1071"/>
      <c r="K383" s="1071"/>
      <c r="L383" s="1071"/>
      <c r="M383" s="1071"/>
      <c r="N383" s="1071"/>
    </row>
    <row r="384" spans="1:14" s="889" customFormat="1" ht="14">
      <c r="A384" s="2773"/>
      <c r="B384" s="2756"/>
      <c r="C384" s="1130" t="s">
        <v>2539</v>
      </c>
      <c r="D384" s="1129"/>
      <c r="E384" s="1104"/>
      <c r="F384" s="904"/>
      <c r="G384" s="1071"/>
      <c r="H384" s="1071"/>
      <c r="I384" s="1071"/>
      <c r="J384" s="1071"/>
      <c r="K384" s="1071"/>
      <c r="L384" s="1071"/>
      <c r="M384" s="1071"/>
      <c r="N384" s="1071"/>
    </row>
    <row r="385" spans="1:14" s="889" customFormat="1" ht="14">
      <c r="A385" s="2773"/>
      <c r="B385" s="2756"/>
      <c r="C385" s="1101" t="s">
        <v>2540</v>
      </c>
      <c r="D385" s="1129">
        <f t="shared" ref="D385:E389" si="223">+D367</f>
        <v>1</v>
      </c>
      <c r="E385" s="1104">
        <f t="shared" si="223"/>
        <v>0.01</v>
      </c>
      <c r="F385" s="904">
        <v>0</v>
      </c>
      <c r="G385" s="1071">
        <f t="shared" si="222"/>
        <v>0</v>
      </c>
      <c r="H385" s="1071">
        <f t="shared" si="222"/>
        <v>0</v>
      </c>
      <c r="I385" s="1071">
        <f t="shared" si="222"/>
        <v>0</v>
      </c>
      <c r="J385" s="1071">
        <f t="shared" si="222"/>
        <v>0</v>
      </c>
      <c r="K385" s="1071">
        <f t="shared" si="222"/>
        <v>0</v>
      </c>
      <c r="L385" s="1071">
        <f t="shared" si="222"/>
        <v>0</v>
      </c>
      <c r="M385" s="1071">
        <f t="shared" si="222"/>
        <v>0</v>
      </c>
      <c r="N385" s="1071">
        <f t="shared" si="222"/>
        <v>0</v>
      </c>
    </row>
    <row r="386" spans="1:14" s="889" customFormat="1" ht="14">
      <c r="A386" s="2773"/>
      <c r="B386" s="2756"/>
      <c r="C386" s="1105" t="s">
        <v>2638</v>
      </c>
      <c r="D386" s="1129">
        <f t="shared" si="223"/>
        <v>1</v>
      </c>
      <c r="E386" s="1104">
        <f t="shared" si="223"/>
        <v>0.01</v>
      </c>
      <c r="F386" s="904">
        <v>0</v>
      </c>
      <c r="G386" s="1071">
        <f t="shared" si="222"/>
        <v>0</v>
      </c>
      <c r="H386" s="1071">
        <f t="shared" si="222"/>
        <v>0</v>
      </c>
      <c r="I386" s="1071">
        <f t="shared" si="222"/>
        <v>0</v>
      </c>
      <c r="J386" s="1071">
        <f t="shared" si="222"/>
        <v>0</v>
      </c>
      <c r="K386" s="1071">
        <f t="shared" si="222"/>
        <v>0</v>
      </c>
      <c r="L386" s="1071">
        <f t="shared" si="222"/>
        <v>0</v>
      </c>
      <c r="M386" s="1071">
        <f t="shared" si="222"/>
        <v>0</v>
      </c>
      <c r="N386" s="1071">
        <f t="shared" si="222"/>
        <v>0</v>
      </c>
    </row>
    <row r="387" spans="1:14" s="889" customFormat="1" ht="14">
      <c r="A387" s="2773"/>
      <c r="B387" s="2756"/>
      <c r="C387" s="1105" t="s">
        <v>2639</v>
      </c>
      <c r="D387" s="1129">
        <f t="shared" si="223"/>
        <v>1</v>
      </c>
      <c r="E387" s="1104">
        <f t="shared" si="223"/>
        <v>0.01</v>
      </c>
      <c r="F387" s="904">
        <v>0</v>
      </c>
      <c r="G387" s="1071">
        <f t="shared" si="222"/>
        <v>0</v>
      </c>
      <c r="H387" s="1071">
        <f t="shared" si="222"/>
        <v>0</v>
      </c>
      <c r="I387" s="1071">
        <f t="shared" si="222"/>
        <v>0</v>
      </c>
      <c r="J387" s="1071">
        <f t="shared" si="222"/>
        <v>0</v>
      </c>
      <c r="K387" s="1071">
        <f t="shared" si="222"/>
        <v>0</v>
      </c>
      <c r="L387" s="1071">
        <f t="shared" si="222"/>
        <v>0</v>
      </c>
      <c r="M387" s="1071">
        <f t="shared" si="222"/>
        <v>0</v>
      </c>
      <c r="N387" s="1071">
        <f t="shared" si="222"/>
        <v>0</v>
      </c>
    </row>
    <row r="388" spans="1:14" s="889" customFormat="1" ht="14">
      <c r="A388" s="2773"/>
      <c r="B388" s="2757"/>
      <c r="C388" s="1101" t="s">
        <v>2543</v>
      </c>
      <c r="D388" s="1129">
        <f t="shared" si="223"/>
        <v>1</v>
      </c>
      <c r="E388" s="1104">
        <f t="shared" si="223"/>
        <v>0.01</v>
      </c>
      <c r="F388" s="904">
        <v>0</v>
      </c>
      <c r="G388" s="1071">
        <f t="shared" si="222"/>
        <v>0</v>
      </c>
      <c r="H388" s="1071">
        <f t="shared" si="222"/>
        <v>0</v>
      </c>
      <c r="I388" s="1071">
        <f t="shared" si="222"/>
        <v>0</v>
      </c>
      <c r="J388" s="1071">
        <f t="shared" si="222"/>
        <v>0</v>
      </c>
      <c r="K388" s="1071">
        <f t="shared" si="222"/>
        <v>0</v>
      </c>
      <c r="L388" s="1071">
        <f t="shared" si="222"/>
        <v>0</v>
      </c>
      <c r="M388" s="1071">
        <f t="shared" si="222"/>
        <v>0</v>
      </c>
      <c r="N388" s="1071">
        <f t="shared" si="222"/>
        <v>0</v>
      </c>
    </row>
    <row r="389" spans="1:14" s="889" customFormat="1" ht="15" thickBot="1">
      <c r="A389" s="2777"/>
      <c r="B389" s="1131" t="s">
        <v>2632</v>
      </c>
      <c r="C389" s="1132" t="s">
        <v>2640</v>
      </c>
      <c r="D389" s="1133">
        <f t="shared" si="223"/>
        <v>1</v>
      </c>
      <c r="E389" s="1134">
        <f t="shared" si="223"/>
        <v>0</v>
      </c>
      <c r="F389" s="1135">
        <f>ROUNDDOWN(D389*E389*F371,0)</f>
        <v>0</v>
      </c>
      <c r="G389" s="1071">
        <f>ROUNDDOWN(G371*$E389*$D389,0)</f>
        <v>0</v>
      </c>
      <c r="H389" s="1071">
        <f>ROUNDDOWN(H371*$E389*$D389,0)</f>
        <v>0</v>
      </c>
      <c r="I389" s="1071">
        <f>ROUNDDOWN(I371*$E389*$D389,0)</f>
        <v>0</v>
      </c>
      <c r="J389" s="1071">
        <f>ROUNDDOWN(J371*$E389*$D389,0)</f>
        <v>0</v>
      </c>
      <c r="K389" s="1071">
        <f t="shared" si="222"/>
        <v>0</v>
      </c>
      <c r="L389" s="1071">
        <f t="shared" si="222"/>
        <v>0</v>
      </c>
      <c r="M389" s="1071">
        <f t="shared" si="222"/>
        <v>0</v>
      </c>
      <c r="N389" s="1071">
        <f t="shared" si="222"/>
        <v>0</v>
      </c>
    </row>
    <row r="390" spans="1:14" s="889" customFormat="1" ht="15" thickTop="1">
      <c r="A390" s="1136"/>
      <c r="B390" s="1137"/>
      <c r="C390" s="1138" t="s">
        <v>2641</v>
      </c>
      <c r="D390" s="1139"/>
      <c r="E390" s="1140"/>
      <c r="F390" s="1141">
        <f>SUM(G390:N390)</f>
        <v>6307009</v>
      </c>
      <c r="G390" s="1142">
        <f>SUM(G377:G389)+G375</f>
        <v>1239427</v>
      </c>
      <c r="H390" s="1142">
        <f t="shared" ref="H390:N390" si="224">SUM(H377:H389)+H375</f>
        <v>759337</v>
      </c>
      <c r="I390" s="1142">
        <f t="shared" si="224"/>
        <v>4308245</v>
      </c>
      <c r="J390" s="1142">
        <f t="shared" si="224"/>
        <v>0</v>
      </c>
      <c r="K390" s="1142">
        <f t="shared" si="224"/>
        <v>0</v>
      </c>
      <c r="L390" s="1142">
        <f t="shared" si="224"/>
        <v>0</v>
      </c>
      <c r="M390" s="1142">
        <f t="shared" si="224"/>
        <v>0</v>
      </c>
      <c r="N390" s="1143">
        <f t="shared" si="224"/>
        <v>0</v>
      </c>
    </row>
    <row r="391" spans="1:14" s="889" customFormat="1" ht="14">
      <c r="A391" s="1286"/>
      <c r="B391" s="1286"/>
      <c r="C391" s="917"/>
      <c r="D391" s="917"/>
      <c r="E391" s="1286"/>
      <c r="F391" s="1144"/>
      <c r="G391" s="908"/>
      <c r="H391" s="908"/>
      <c r="I391" s="908"/>
      <c r="J391" s="908"/>
      <c r="K391" s="908"/>
      <c r="L391" s="908"/>
      <c r="M391" s="908"/>
      <c r="N391" s="908"/>
    </row>
    <row r="392" spans="1:14" s="889" customFormat="1" ht="14">
      <c r="A392" s="1286"/>
      <c r="B392" s="1286"/>
      <c r="C392" s="1090" t="s">
        <v>2714</v>
      </c>
      <c r="D392" s="1090"/>
      <c r="E392" s="916"/>
      <c r="F392" s="1033"/>
      <c r="G392" s="1037"/>
      <c r="H392" s="1037"/>
      <c r="I392" s="1037"/>
      <c r="J392" s="1037"/>
      <c r="K392" s="1037"/>
      <c r="L392" s="1037"/>
      <c r="M392" s="1037"/>
      <c r="N392" s="1091" t="s">
        <v>2715</v>
      </c>
    </row>
    <row r="393" spans="1:14" s="889" customFormat="1" ht="14">
      <c r="A393" s="1286"/>
      <c r="B393" s="1286"/>
      <c r="C393" s="923" t="s">
        <v>2644</v>
      </c>
      <c r="D393" s="923"/>
      <c r="E393" s="916"/>
      <c r="F393" s="1033"/>
      <c r="G393" s="1037"/>
      <c r="H393" s="1037"/>
      <c r="I393" s="1037"/>
      <c r="J393" s="1037"/>
      <c r="K393" s="1037"/>
      <c r="L393" s="1037"/>
      <c r="M393" s="1037"/>
      <c r="N393" s="1091"/>
    </row>
    <row r="394" spans="1:14" s="889" customFormat="1" ht="14">
      <c r="A394" s="870"/>
      <c r="B394" s="871"/>
      <c r="C394" s="871"/>
      <c r="D394" s="2767" t="s">
        <v>2623</v>
      </c>
      <c r="E394" s="2767" t="s">
        <v>2624</v>
      </c>
      <c r="F394" s="1083" t="s">
        <v>2505</v>
      </c>
      <c r="G394" s="1084" t="str">
        <f t="shared" ref="G394:N394" si="225">+G302</f>
        <v>工事6</v>
      </c>
      <c r="H394" s="1084" t="str">
        <f t="shared" si="225"/>
        <v>工事7</v>
      </c>
      <c r="I394" s="1084" t="str">
        <f t="shared" si="225"/>
        <v>工事8</v>
      </c>
      <c r="J394" s="1084">
        <f t="shared" si="225"/>
        <v>0</v>
      </c>
      <c r="K394" s="1084">
        <f t="shared" si="225"/>
        <v>0</v>
      </c>
      <c r="L394" s="1084">
        <f t="shared" si="225"/>
        <v>0</v>
      </c>
      <c r="M394" s="1084">
        <f t="shared" si="225"/>
        <v>0</v>
      </c>
      <c r="N394" s="1085">
        <f t="shared" si="225"/>
        <v>0</v>
      </c>
    </row>
    <row r="395" spans="1:14" s="889" customFormat="1" ht="14">
      <c r="A395" s="2769" t="s">
        <v>2645</v>
      </c>
      <c r="B395" s="2770"/>
      <c r="C395" s="2771"/>
      <c r="D395" s="2768"/>
      <c r="E395" s="2768"/>
      <c r="F395" s="1092"/>
      <c r="G395" s="1093"/>
      <c r="H395" s="1093"/>
      <c r="I395" s="1093"/>
      <c r="J395" s="1093"/>
      <c r="K395" s="1093"/>
      <c r="L395" s="1093"/>
      <c r="M395" s="1093"/>
      <c r="N395" s="1094"/>
    </row>
    <row r="396" spans="1:14" s="889" customFormat="1" ht="14">
      <c r="A396" s="2772"/>
      <c r="B396" s="1095" t="s">
        <v>2646</v>
      </c>
      <c r="C396" s="1096"/>
      <c r="D396" s="1097"/>
      <c r="E396" s="1098"/>
      <c r="F396" s="1099">
        <f t="shared" ref="F396:F403" si="226">SUM(G396:N396)</f>
        <v>222321813</v>
      </c>
      <c r="G396" s="1100">
        <f t="shared" ref="G396:N396" si="227">+G307-G351-G350-G346-G347</f>
        <v>47289605</v>
      </c>
      <c r="H396" s="1100">
        <f t="shared" si="227"/>
        <v>28894794</v>
      </c>
      <c r="I396" s="1100">
        <f t="shared" si="227"/>
        <v>146137414</v>
      </c>
      <c r="J396" s="1100">
        <f t="shared" si="227"/>
        <v>0</v>
      </c>
      <c r="K396" s="1100">
        <f t="shared" si="227"/>
        <v>0</v>
      </c>
      <c r="L396" s="1100">
        <f t="shared" si="227"/>
        <v>0</v>
      </c>
      <c r="M396" s="1100">
        <f t="shared" si="227"/>
        <v>0</v>
      </c>
      <c r="N396" s="1113">
        <f t="shared" si="227"/>
        <v>0</v>
      </c>
    </row>
    <row r="397" spans="1:14" s="889" customFormat="1" ht="14">
      <c r="A397" s="2773"/>
      <c r="B397" s="2758" t="s">
        <v>2529</v>
      </c>
      <c r="C397" s="1101" t="s">
        <v>2530</v>
      </c>
      <c r="D397" s="1102">
        <v>1</v>
      </c>
      <c r="E397" s="1103" t="s">
        <v>2627</v>
      </c>
      <c r="F397" s="904">
        <f t="shared" si="226"/>
        <v>0</v>
      </c>
      <c r="G397" s="905">
        <f>IF(G333&gt;=G334,+G333+G375+G314-G315-G316-G351,G333+G375)</f>
        <v>0</v>
      </c>
      <c r="H397" s="905">
        <f t="shared" ref="H397:N397" si="228">IF(H333&gt;=H334,+H333+H375+H314-H315-H316-H351,H333+H375)</f>
        <v>0</v>
      </c>
      <c r="I397" s="905">
        <f t="shared" si="228"/>
        <v>0</v>
      </c>
      <c r="J397" s="905">
        <f t="shared" si="228"/>
        <v>0</v>
      </c>
      <c r="K397" s="905">
        <f t="shared" si="228"/>
        <v>0</v>
      </c>
      <c r="L397" s="905">
        <f t="shared" si="228"/>
        <v>0</v>
      </c>
      <c r="M397" s="905">
        <f t="shared" si="228"/>
        <v>0</v>
      </c>
      <c r="N397" s="906">
        <f t="shared" si="228"/>
        <v>0</v>
      </c>
    </row>
    <row r="398" spans="1:14" s="889" customFormat="1" ht="14">
      <c r="A398" s="2773"/>
      <c r="B398" s="2756"/>
      <c r="C398" s="1101" t="s">
        <v>2531</v>
      </c>
      <c r="D398" s="1102">
        <v>1</v>
      </c>
      <c r="E398" s="1103" t="s">
        <v>2627</v>
      </c>
      <c r="F398" s="904">
        <f t="shared" si="226"/>
        <v>215960328</v>
      </c>
      <c r="G398" s="905">
        <f>IF(G333&gt;=G334,+G334+G377,G334+G377+G314-G315-G316-G351)</f>
        <v>42949837</v>
      </c>
      <c r="H398" s="905">
        <f t="shared" ref="H398:N398" si="229">IF(H333&gt;=H334,+H334+H377,H334+H377+H314-H315-H316-H351)</f>
        <v>28894794</v>
      </c>
      <c r="I398" s="905">
        <f t="shared" si="229"/>
        <v>144115697</v>
      </c>
      <c r="J398" s="905">
        <f t="shared" si="229"/>
        <v>0</v>
      </c>
      <c r="K398" s="905">
        <f t="shared" si="229"/>
        <v>0</v>
      </c>
      <c r="L398" s="905">
        <f t="shared" si="229"/>
        <v>0</v>
      </c>
      <c r="M398" s="905">
        <f t="shared" si="229"/>
        <v>0</v>
      </c>
      <c r="N398" s="906">
        <f t="shared" si="229"/>
        <v>0</v>
      </c>
    </row>
    <row r="399" spans="1:14" s="889" customFormat="1" ht="14">
      <c r="A399" s="2773"/>
      <c r="B399" s="2756"/>
      <c r="C399" s="1101" t="s">
        <v>2628</v>
      </c>
      <c r="D399" s="1102">
        <v>1</v>
      </c>
      <c r="E399" s="1103" t="s">
        <v>2627</v>
      </c>
      <c r="F399" s="904">
        <f t="shared" si="226"/>
        <v>0</v>
      </c>
      <c r="G399" s="905">
        <f>+G335+G378</f>
        <v>0</v>
      </c>
      <c r="H399" s="905">
        <f t="shared" ref="H399:N403" si="230">+H335+H378</f>
        <v>0</v>
      </c>
      <c r="I399" s="905">
        <f t="shared" si="230"/>
        <v>0</v>
      </c>
      <c r="J399" s="905">
        <f t="shared" si="230"/>
        <v>0</v>
      </c>
      <c r="K399" s="905">
        <f t="shared" si="230"/>
        <v>0</v>
      </c>
      <c r="L399" s="905">
        <f t="shared" si="230"/>
        <v>0</v>
      </c>
      <c r="M399" s="905">
        <f t="shared" si="230"/>
        <v>0</v>
      </c>
      <c r="N399" s="906">
        <f t="shared" si="230"/>
        <v>0</v>
      </c>
    </row>
    <row r="400" spans="1:14" s="889" customFormat="1" ht="14">
      <c r="A400" s="2773"/>
      <c r="B400" s="2757"/>
      <c r="C400" s="1101" t="s">
        <v>2629</v>
      </c>
      <c r="D400" s="1102">
        <v>1</v>
      </c>
      <c r="E400" s="1103" t="s">
        <v>2627</v>
      </c>
      <c r="F400" s="904">
        <f t="shared" si="226"/>
        <v>0</v>
      </c>
      <c r="G400" s="905">
        <f>+G336+G379</f>
        <v>0</v>
      </c>
      <c r="H400" s="905">
        <f t="shared" si="230"/>
        <v>0</v>
      </c>
      <c r="I400" s="905">
        <f t="shared" si="230"/>
        <v>0</v>
      </c>
      <c r="J400" s="905">
        <f t="shared" si="230"/>
        <v>0</v>
      </c>
      <c r="K400" s="905">
        <f t="shared" si="230"/>
        <v>0</v>
      </c>
      <c r="L400" s="905">
        <f t="shared" si="230"/>
        <v>0</v>
      </c>
      <c r="M400" s="905">
        <f t="shared" si="230"/>
        <v>0</v>
      </c>
      <c r="N400" s="906">
        <f t="shared" si="230"/>
        <v>0</v>
      </c>
    </row>
    <row r="401" spans="1:14" s="889" customFormat="1" ht="14">
      <c r="A401" s="2773"/>
      <c r="B401" s="2758" t="s">
        <v>2534</v>
      </c>
      <c r="C401" s="1101" t="s">
        <v>2630</v>
      </c>
      <c r="D401" s="1102">
        <v>1</v>
      </c>
      <c r="E401" s="1104">
        <v>0.02</v>
      </c>
      <c r="F401" s="904">
        <f t="shared" si="226"/>
        <v>0</v>
      </c>
      <c r="G401" s="905">
        <f>+G337+G380</f>
        <v>0</v>
      </c>
      <c r="H401" s="905">
        <f t="shared" si="230"/>
        <v>0</v>
      </c>
      <c r="I401" s="905">
        <f t="shared" si="230"/>
        <v>0</v>
      </c>
      <c r="J401" s="905">
        <f t="shared" si="230"/>
        <v>0</v>
      </c>
      <c r="K401" s="905">
        <f t="shared" si="230"/>
        <v>0</v>
      </c>
      <c r="L401" s="905">
        <f t="shared" si="230"/>
        <v>0</v>
      </c>
      <c r="M401" s="905">
        <f t="shared" si="230"/>
        <v>0</v>
      </c>
      <c r="N401" s="906">
        <f t="shared" si="230"/>
        <v>0</v>
      </c>
    </row>
    <row r="402" spans="1:14" s="889" customFormat="1" ht="14">
      <c r="A402" s="2773"/>
      <c r="B402" s="2756"/>
      <c r="C402" s="1101" t="s">
        <v>2631</v>
      </c>
      <c r="D402" s="1102">
        <v>1</v>
      </c>
      <c r="E402" s="1104">
        <v>0.02</v>
      </c>
      <c r="F402" s="904">
        <f t="shared" si="226"/>
        <v>0</v>
      </c>
      <c r="G402" s="905">
        <f>+G338+G381</f>
        <v>0</v>
      </c>
      <c r="H402" s="905">
        <f t="shared" si="230"/>
        <v>0</v>
      </c>
      <c r="I402" s="905">
        <f t="shared" si="230"/>
        <v>0</v>
      </c>
      <c r="J402" s="905">
        <f t="shared" si="230"/>
        <v>0</v>
      </c>
      <c r="K402" s="905">
        <f t="shared" si="230"/>
        <v>0</v>
      </c>
      <c r="L402" s="905">
        <f t="shared" si="230"/>
        <v>0</v>
      </c>
      <c r="M402" s="905">
        <f t="shared" si="230"/>
        <v>0</v>
      </c>
      <c r="N402" s="906">
        <f t="shared" si="230"/>
        <v>0</v>
      </c>
    </row>
    <row r="403" spans="1:14" s="889" customFormat="1" ht="14">
      <c r="A403" s="2773"/>
      <c r="B403" s="2756"/>
      <c r="C403" s="1101" t="s">
        <v>2537</v>
      </c>
      <c r="D403" s="1102">
        <v>1</v>
      </c>
      <c r="E403" s="1104">
        <v>0.02</v>
      </c>
      <c r="F403" s="904">
        <f t="shared" si="226"/>
        <v>6361485</v>
      </c>
      <c r="G403" s="905">
        <f>+G339+G382</f>
        <v>4339768</v>
      </c>
      <c r="H403" s="905">
        <f t="shared" si="230"/>
        <v>0</v>
      </c>
      <c r="I403" s="905">
        <f t="shared" si="230"/>
        <v>2021717</v>
      </c>
      <c r="J403" s="905">
        <f t="shared" si="230"/>
        <v>0</v>
      </c>
      <c r="K403" s="905">
        <f t="shared" si="230"/>
        <v>0</v>
      </c>
      <c r="L403" s="905">
        <f t="shared" si="230"/>
        <v>0</v>
      </c>
      <c r="M403" s="905">
        <f t="shared" si="230"/>
        <v>0</v>
      </c>
      <c r="N403" s="906">
        <f t="shared" si="230"/>
        <v>0</v>
      </c>
    </row>
    <row r="404" spans="1:14" s="889" customFormat="1" ht="14">
      <c r="A404" s="2773"/>
      <c r="B404" s="2756"/>
      <c r="C404" s="1101" t="s">
        <v>2617</v>
      </c>
      <c r="D404" s="1102"/>
      <c r="E404" s="1104"/>
      <c r="F404" s="904"/>
      <c r="G404" s="905"/>
      <c r="H404" s="905"/>
      <c r="I404" s="905"/>
      <c r="J404" s="905"/>
      <c r="K404" s="905"/>
      <c r="L404" s="905"/>
      <c r="M404" s="905"/>
      <c r="N404" s="906"/>
    </row>
    <row r="405" spans="1:14" s="889" customFormat="1" ht="14">
      <c r="A405" s="2773"/>
      <c r="B405" s="2756"/>
      <c r="C405" s="1101" t="s">
        <v>2539</v>
      </c>
      <c r="D405" s="1102"/>
      <c r="E405" s="1104"/>
      <c r="F405" s="904"/>
      <c r="G405" s="905"/>
      <c r="H405" s="905"/>
      <c r="I405" s="905"/>
      <c r="J405" s="905"/>
      <c r="K405" s="905"/>
      <c r="L405" s="905"/>
      <c r="M405" s="905"/>
      <c r="N405" s="906"/>
    </row>
    <row r="406" spans="1:14" s="889" customFormat="1" ht="14">
      <c r="A406" s="2773"/>
      <c r="B406" s="2756"/>
      <c r="C406" s="1101" t="s">
        <v>2540</v>
      </c>
      <c r="D406" s="1102">
        <v>1</v>
      </c>
      <c r="E406" s="1104">
        <v>0.02</v>
      </c>
      <c r="F406" s="904">
        <f>SUM(G406:N406)</f>
        <v>0</v>
      </c>
      <c r="G406" s="905">
        <f t="shared" ref="G406:N409" si="231">+G342+G385</f>
        <v>0</v>
      </c>
      <c r="H406" s="905">
        <f t="shared" si="231"/>
        <v>0</v>
      </c>
      <c r="I406" s="905">
        <f t="shared" si="231"/>
        <v>0</v>
      </c>
      <c r="J406" s="905">
        <f t="shared" si="231"/>
        <v>0</v>
      </c>
      <c r="K406" s="905">
        <f t="shared" si="231"/>
        <v>0</v>
      </c>
      <c r="L406" s="905">
        <f t="shared" si="231"/>
        <v>0</v>
      </c>
      <c r="M406" s="905">
        <f t="shared" si="231"/>
        <v>0</v>
      </c>
      <c r="N406" s="906">
        <f t="shared" si="231"/>
        <v>0</v>
      </c>
    </row>
    <row r="407" spans="1:14" s="889" customFormat="1" ht="14">
      <c r="A407" s="2773"/>
      <c r="B407" s="2756"/>
      <c r="C407" s="1105" t="s">
        <v>2541</v>
      </c>
      <c r="D407" s="1102">
        <v>1</v>
      </c>
      <c r="E407" s="1104">
        <v>0.02</v>
      </c>
      <c r="F407" s="904">
        <f>SUM(G407:N407)</f>
        <v>0</v>
      </c>
      <c r="G407" s="905">
        <f t="shared" si="231"/>
        <v>0</v>
      </c>
      <c r="H407" s="905">
        <f t="shared" si="231"/>
        <v>0</v>
      </c>
      <c r="I407" s="905">
        <f t="shared" si="231"/>
        <v>0</v>
      </c>
      <c r="J407" s="905">
        <f t="shared" si="231"/>
        <v>0</v>
      </c>
      <c r="K407" s="905">
        <f t="shared" si="231"/>
        <v>0</v>
      </c>
      <c r="L407" s="905">
        <f t="shared" si="231"/>
        <v>0</v>
      </c>
      <c r="M407" s="905">
        <f t="shared" si="231"/>
        <v>0</v>
      </c>
      <c r="N407" s="906">
        <f t="shared" si="231"/>
        <v>0</v>
      </c>
    </row>
    <row r="408" spans="1:14" s="889" customFormat="1" ht="14">
      <c r="A408" s="2773"/>
      <c r="B408" s="2756"/>
      <c r="C408" s="1105" t="s">
        <v>2619</v>
      </c>
      <c r="D408" s="1102">
        <v>1</v>
      </c>
      <c r="E408" s="1104">
        <v>0.02</v>
      </c>
      <c r="F408" s="904">
        <f>SUM(G408:N408)</f>
        <v>0</v>
      </c>
      <c r="G408" s="905">
        <f t="shared" si="231"/>
        <v>0</v>
      </c>
      <c r="H408" s="905">
        <f t="shared" si="231"/>
        <v>0</v>
      </c>
      <c r="I408" s="905">
        <f t="shared" si="231"/>
        <v>0</v>
      </c>
      <c r="J408" s="905">
        <f t="shared" si="231"/>
        <v>0</v>
      </c>
      <c r="K408" s="905">
        <f t="shared" si="231"/>
        <v>0</v>
      </c>
      <c r="L408" s="905">
        <f t="shared" si="231"/>
        <v>0</v>
      </c>
      <c r="M408" s="905">
        <f t="shared" si="231"/>
        <v>0</v>
      </c>
      <c r="N408" s="906">
        <f t="shared" si="231"/>
        <v>0</v>
      </c>
    </row>
    <row r="409" spans="1:14" s="889" customFormat="1" ht="14">
      <c r="A409" s="2773"/>
      <c r="B409" s="2757"/>
      <c r="C409" s="1101" t="s">
        <v>2543</v>
      </c>
      <c r="D409" s="1102">
        <v>1</v>
      </c>
      <c r="E409" s="1104">
        <v>0.02</v>
      </c>
      <c r="F409" s="904">
        <f>SUM(G409:N409)</f>
        <v>0</v>
      </c>
      <c r="G409" s="905">
        <f t="shared" si="231"/>
        <v>0</v>
      </c>
      <c r="H409" s="905">
        <f t="shared" si="231"/>
        <v>0</v>
      </c>
      <c r="I409" s="905">
        <f t="shared" si="231"/>
        <v>0</v>
      </c>
      <c r="J409" s="905">
        <f t="shared" si="231"/>
        <v>0</v>
      </c>
      <c r="K409" s="905">
        <f t="shared" si="231"/>
        <v>0</v>
      </c>
      <c r="L409" s="905">
        <f t="shared" si="231"/>
        <v>0</v>
      </c>
      <c r="M409" s="905">
        <f t="shared" si="231"/>
        <v>0</v>
      </c>
      <c r="N409" s="906">
        <f t="shared" si="231"/>
        <v>0</v>
      </c>
    </row>
    <row r="410" spans="1:14" s="889" customFormat="1" ht="14">
      <c r="A410" s="2774"/>
      <c r="B410" s="1106" t="s">
        <v>2632</v>
      </c>
      <c r="C410" s="1145" t="s">
        <v>2647</v>
      </c>
      <c r="D410" s="1108">
        <v>1</v>
      </c>
      <c r="E410" s="1109">
        <v>0</v>
      </c>
      <c r="F410" s="939">
        <f>SUM(G410:N410)</f>
        <v>605438</v>
      </c>
      <c r="G410" s="1064">
        <f t="shared" ref="G410:N410" si="232">SUM(G346:G352)</f>
        <v>97361</v>
      </c>
      <c r="H410" s="1064">
        <f t="shared" si="232"/>
        <v>13658</v>
      </c>
      <c r="I410" s="1064">
        <f t="shared" si="232"/>
        <v>494419</v>
      </c>
      <c r="J410" s="1064">
        <f t="shared" si="232"/>
        <v>0</v>
      </c>
      <c r="K410" s="1064">
        <f t="shared" si="232"/>
        <v>0</v>
      </c>
      <c r="L410" s="1064">
        <f t="shared" si="232"/>
        <v>0</v>
      </c>
      <c r="M410" s="1064">
        <f t="shared" si="232"/>
        <v>0</v>
      </c>
      <c r="N410" s="1065">
        <f t="shared" si="232"/>
        <v>0</v>
      </c>
    </row>
    <row r="411" spans="1:14" s="889" customFormat="1" ht="14">
      <c r="A411" s="1110"/>
      <c r="B411" s="1111"/>
      <c r="C411" s="1112"/>
      <c r="D411" s="2775"/>
      <c r="E411" s="2775"/>
      <c r="F411" s="1099"/>
      <c r="G411" s="1100"/>
      <c r="H411" s="1100"/>
      <c r="I411" s="1100"/>
      <c r="J411" s="1100"/>
      <c r="K411" s="1100"/>
      <c r="L411" s="1100"/>
      <c r="M411" s="1100"/>
      <c r="N411" s="1113"/>
    </row>
    <row r="412" spans="1:14" s="889" customFormat="1" ht="14">
      <c r="A412" s="2769" t="s">
        <v>2648</v>
      </c>
      <c r="B412" s="2770"/>
      <c r="C412" s="2771"/>
      <c r="D412" s="2776"/>
      <c r="E412" s="2776"/>
      <c r="F412" s="1092"/>
      <c r="G412" s="1093"/>
      <c r="H412" s="1093"/>
      <c r="I412" s="1093"/>
      <c r="J412" s="1093"/>
      <c r="K412" s="1093"/>
      <c r="L412" s="1093"/>
      <c r="M412" s="1093"/>
      <c r="N412" s="1094"/>
    </row>
    <row r="413" spans="1:14" s="889" customFormat="1" ht="14">
      <c r="A413" s="2772"/>
      <c r="B413" s="2755" t="s">
        <v>2529</v>
      </c>
      <c r="C413" s="1114" t="s">
        <v>2530</v>
      </c>
      <c r="D413" s="1115"/>
      <c r="E413" s="1116" t="s">
        <v>2627</v>
      </c>
      <c r="F413" s="1117" t="s">
        <v>2635</v>
      </c>
      <c r="G413" s="1118">
        <f t="shared" ref="G413:N413" si="233">IF(G397=0,0,+G497/100)</f>
        <v>0</v>
      </c>
      <c r="H413" s="1118">
        <f t="shared" si="233"/>
        <v>0</v>
      </c>
      <c r="I413" s="1118">
        <f t="shared" si="233"/>
        <v>0</v>
      </c>
      <c r="J413" s="1118">
        <f t="shared" si="233"/>
        <v>0</v>
      </c>
      <c r="K413" s="1118">
        <f t="shared" si="233"/>
        <v>0</v>
      </c>
      <c r="L413" s="1118">
        <f t="shared" si="233"/>
        <v>0</v>
      </c>
      <c r="M413" s="1118">
        <f t="shared" si="233"/>
        <v>0</v>
      </c>
      <c r="N413" s="1119">
        <f t="shared" si="233"/>
        <v>0</v>
      </c>
    </row>
    <row r="414" spans="1:14" s="889" customFormat="1" ht="14">
      <c r="A414" s="2773"/>
      <c r="B414" s="2756"/>
      <c r="C414" s="1120"/>
      <c r="D414" s="1121">
        <f>+D397</f>
        <v>1</v>
      </c>
      <c r="E414" s="1122" t="s">
        <v>2627</v>
      </c>
      <c r="F414" s="1055">
        <f>SUM(G414:N414)</f>
        <v>0</v>
      </c>
      <c r="G414" s="1071">
        <f t="shared" ref="G414:N414" si="234">ROUNDDOWN(G397*G413*$D414,0)</f>
        <v>0</v>
      </c>
      <c r="H414" s="1071">
        <f t="shared" si="234"/>
        <v>0</v>
      </c>
      <c r="I414" s="1071">
        <f t="shared" si="234"/>
        <v>0</v>
      </c>
      <c r="J414" s="1071">
        <f t="shared" si="234"/>
        <v>0</v>
      </c>
      <c r="K414" s="1071">
        <f t="shared" si="234"/>
        <v>0</v>
      </c>
      <c r="L414" s="1071">
        <f t="shared" si="234"/>
        <v>0</v>
      </c>
      <c r="M414" s="1071">
        <f t="shared" si="234"/>
        <v>0</v>
      </c>
      <c r="N414" s="1072">
        <f t="shared" si="234"/>
        <v>0</v>
      </c>
    </row>
    <row r="415" spans="1:14" s="889" customFormat="1" ht="14">
      <c r="A415" s="2773"/>
      <c r="B415" s="2756"/>
      <c r="C415" s="1123" t="s">
        <v>2531</v>
      </c>
      <c r="D415" s="1124"/>
      <c r="E415" s="1122" t="s">
        <v>2627</v>
      </c>
      <c r="F415" s="1125" t="s">
        <v>2635</v>
      </c>
      <c r="G415" s="1146">
        <f t="shared" ref="G415:N415" si="235">IF(G398=0,0,+G505/100)</f>
        <v>0.11380000000000001</v>
      </c>
      <c r="H415" s="1126">
        <f>IF(H398=0,0,+H505/100)</f>
        <v>9.2899999999999996E-2</v>
      </c>
      <c r="I415" s="1126">
        <f t="shared" si="235"/>
        <v>0.11380000000000001</v>
      </c>
      <c r="J415" s="1126">
        <f t="shared" si="235"/>
        <v>0</v>
      </c>
      <c r="K415" s="1126">
        <f t="shared" si="235"/>
        <v>0</v>
      </c>
      <c r="L415" s="1126">
        <f t="shared" si="235"/>
        <v>0</v>
      </c>
      <c r="M415" s="1126">
        <f t="shared" si="235"/>
        <v>0</v>
      </c>
      <c r="N415" s="1127">
        <f t="shared" si="235"/>
        <v>0</v>
      </c>
    </row>
    <row r="416" spans="1:14" s="889" customFormat="1" ht="14">
      <c r="A416" s="2773"/>
      <c r="B416" s="2756"/>
      <c r="C416" s="1120"/>
      <c r="D416" s="1128">
        <f t="shared" ref="D416:D421" si="236">+D398</f>
        <v>1</v>
      </c>
      <c r="E416" s="1122" t="s">
        <v>2627</v>
      </c>
      <c r="F416" s="1055">
        <f t="shared" ref="F416:F421" si="237">SUM(G416:N416)</f>
        <v>23972383</v>
      </c>
      <c r="G416" s="1071">
        <f t="shared" ref="G416:N416" si="238">ROUNDDOWN(G398*G415*$D416,0)</f>
        <v>4887691</v>
      </c>
      <c r="H416" s="1071">
        <f t="shared" si="238"/>
        <v>2684326</v>
      </c>
      <c r="I416" s="1071">
        <f t="shared" si="238"/>
        <v>16400366</v>
      </c>
      <c r="J416" s="1071">
        <f t="shared" si="238"/>
        <v>0</v>
      </c>
      <c r="K416" s="1071">
        <f t="shared" si="238"/>
        <v>0</v>
      </c>
      <c r="L416" s="1071">
        <f t="shared" si="238"/>
        <v>0</v>
      </c>
      <c r="M416" s="1071">
        <f t="shared" si="238"/>
        <v>0</v>
      </c>
      <c r="N416" s="1072">
        <f t="shared" si="238"/>
        <v>0</v>
      </c>
    </row>
    <row r="417" spans="1:14" s="889" customFormat="1" ht="14">
      <c r="A417" s="2773"/>
      <c r="B417" s="2756"/>
      <c r="C417" s="1101" t="s">
        <v>2553</v>
      </c>
      <c r="D417" s="1129">
        <f t="shared" si="236"/>
        <v>1</v>
      </c>
      <c r="E417" s="1122" t="s">
        <v>2627</v>
      </c>
      <c r="F417" s="1055">
        <f t="shared" si="237"/>
        <v>0</v>
      </c>
      <c r="G417" s="1071">
        <f t="shared" ref="G417:N417" si="239">ROUNDDOWN(G399*G413*$D417,0)</f>
        <v>0</v>
      </c>
      <c r="H417" s="1071">
        <f t="shared" si="239"/>
        <v>0</v>
      </c>
      <c r="I417" s="1071">
        <f t="shared" si="239"/>
        <v>0</v>
      </c>
      <c r="J417" s="1071">
        <f t="shared" si="239"/>
        <v>0</v>
      </c>
      <c r="K417" s="1071">
        <f t="shared" si="239"/>
        <v>0</v>
      </c>
      <c r="L417" s="1071">
        <f t="shared" si="239"/>
        <v>0</v>
      </c>
      <c r="M417" s="1071">
        <f t="shared" si="239"/>
        <v>0</v>
      </c>
      <c r="N417" s="1072">
        <f t="shared" si="239"/>
        <v>0</v>
      </c>
    </row>
    <row r="418" spans="1:14" s="889" customFormat="1" ht="14">
      <c r="A418" s="2773"/>
      <c r="B418" s="2757"/>
      <c r="C418" s="1101" t="s">
        <v>2554</v>
      </c>
      <c r="D418" s="1129">
        <f t="shared" si="236"/>
        <v>1</v>
      </c>
      <c r="E418" s="1122" t="s">
        <v>2627</v>
      </c>
      <c r="F418" s="1055">
        <f t="shared" si="237"/>
        <v>0</v>
      </c>
      <c r="G418" s="1071">
        <f t="shared" ref="G418:N418" si="240">ROUNDDOWN(G400*G415*$D418,0)</f>
        <v>0</v>
      </c>
      <c r="H418" s="1071">
        <f t="shared" si="240"/>
        <v>0</v>
      </c>
      <c r="I418" s="1071">
        <f t="shared" si="240"/>
        <v>0</v>
      </c>
      <c r="J418" s="1071">
        <f t="shared" si="240"/>
        <v>0</v>
      </c>
      <c r="K418" s="1071">
        <f t="shared" si="240"/>
        <v>0</v>
      </c>
      <c r="L418" s="1071">
        <f t="shared" si="240"/>
        <v>0</v>
      </c>
      <c r="M418" s="1071">
        <f t="shared" si="240"/>
        <v>0</v>
      </c>
      <c r="N418" s="1072">
        <f t="shared" si="240"/>
        <v>0</v>
      </c>
    </row>
    <row r="419" spans="1:14" s="889" customFormat="1" ht="14">
      <c r="A419" s="2773"/>
      <c r="B419" s="2758" t="s">
        <v>2534</v>
      </c>
      <c r="C419" s="1101" t="s">
        <v>2630</v>
      </c>
      <c r="D419" s="1129">
        <f t="shared" si="236"/>
        <v>1</v>
      </c>
      <c r="E419" s="1104">
        <f>+E401</f>
        <v>0.02</v>
      </c>
      <c r="F419" s="1055">
        <f t="shared" si="237"/>
        <v>0</v>
      </c>
      <c r="G419" s="1071">
        <f t="shared" ref="G419:N427" si="241">ROUNDDOWN(G401*$E419*$D419,0)</f>
        <v>0</v>
      </c>
      <c r="H419" s="1071">
        <f t="shared" si="241"/>
        <v>0</v>
      </c>
      <c r="I419" s="1071">
        <f t="shared" si="241"/>
        <v>0</v>
      </c>
      <c r="J419" s="1071">
        <f t="shared" si="241"/>
        <v>0</v>
      </c>
      <c r="K419" s="1071">
        <f t="shared" si="241"/>
        <v>0</v>
      </c>
      <c r="L419" s="1071">
        <f t="shared" si="241"/>
        <v>0</v>
      </c>
      <c r="M419" s="1071">
        <f t="shared" si="241"/>
        <v>0</v>
      </c>
      <c r="N419" s="1072">
        <f t="shared" si="241"/>
        <v>0</v>
      </c>
    </row>
    <row r="420" spans="1:14" s="889" customFormat="1" ht="14">
      <c r="A420" s="2773"/>
      <c r="B420" s="2756"/>
      <c r="C420" s="1101" t="s">
        <v>2636</v>
      </c>
      <c r="D420" s="1129">
        <f t="shared" si="236"/>
        <v>1</v>
      </c>
      <c r="E420" s="1104">
        <f>+E402</f>
        <v>0.02</v>
      </c>
      <c r="F420" s="1055">
        <f t="shared" si="237"/>
        <v>0</v>
      </c>
      <c r="G420" s="1071">
        <f t="shared" si="241"/>
        <v>0</v>
      </c>
      <c r="H420" s="1071">
        <f t="shared" si="241"/>
        <v>0</v>
      </c>
      <c r="I420" s="1071">
        <f>ROUNDDOWN(I402*$E420*$D420,0)</f>
        <v>0</v>
      </c>
      <c r="J420" s="1071">
        <f>ROUNDDOWN(J402*$E420*$D420,0)</f>
        <v>0</v>
      </c>
      <c r="K420" s="1071">
        <f t="shared" si="241"/>
        <v>0</v>
      </c>
      <c r="L420" s="1071">
        <f t="shared" si="241"/>
        <v>0</v>
      </c>
      <c r="M420" s="1071">
        <f t="shared" si="241"/>
        <v>0</v>
      </c>
      <c r="N420" s="1072">
        <f t="shared" si="241"/>
        <v>0</v>
      </c>
    </row>
    <row r="421" spans="1:14" s="889" customFormat="1" ht="14">
      <c r="A421" s="2773"/>
      <c r="B421" s="2756"/>
      <c r="C421" s="1101" t="s">
        <v>2537</v>
      </c>
      <c r="D421" s="1129">
        <f t="shared" si="236"/>
        <v>1</v>
      </c>
      <c r="E421" s="1104">
        <f>+E403</f>
        <v>0.02</v>
      </c>
      <c r="F421" s="1055">
        <f t="shared" si="237"/>
        <v>127229</v>
      </c>
      <c r="G421" s="1071">
        <f t="shared" si="241"/>
        <v>86795</v>
      </c>
      <c r="H421" s="1071">
        <f t="shared" si="241"/>
        <v>0</v>
      </c>
      <c r="I421" s="1071">
        <f>ROUNDDOWN(I403*$E421*$D421,0)</f>
        <v>40434</v>
      </c>
      <c r="J421" s="1071">
        <f>ROUNDDOWN(J403*$E421*$D421,0)</f>
        <v>0</v>
      </c>
      <c r="K421" s="1071">
        <f t="shared" si="241"/>
        <v>0</v>
      </c>
      <c r="L421" s="1071">
        <f t="shared" si="241"/>
        <v>0</v>
      </c>
      <c r="M421" s="1071">
        <f t="shared" si="241"/>
        <v>0</v>
      </c>
      <c r="N421" s="1072">
        <f t="shared" si="241"/>
        <v>0</v>
      </c>
    </row>
    <row r="422" spans="1:14" s="889" customFormat="1" ht="14">
      <c r="A422" s="2773"/>
      <c r="B422" s="2756"/>
      <c r="C422" s="1101" t="s">
        <v>2617</v>
      </c>
      <c r="D422" s="1129"/>
      <c r="E422" s="1104"/>
      <c r="F422" s="1055"/>
      <c r="G422" s="1071"/>
      <c r="H422" s="1071"/>
      <c r="I422" s="1071"/>
      <c r="J422" s="1071"/>
      <c r="K422" s="1071"/>
      <c r="L422" s="1071"/>
      <c r="M422" s="1071"/>
      <c r="N422" s="1072"/>
    </row>
    <row r="423" spans="1:14" s="889" customFormat="1" ht="14">
      <c r="A423" s="2773"/>
      <c r="B423" s="2756"/>
      <c r="C423" s="1130"/>
      <c r="D423" s="1129"/>
      <c r="E423" s="1104"/>
      <c r="F423" s="1055"/>
      <c r="G423" s="1071"/>
      <c r="H423" s="1071"/>
      <c r="I423" s="1071"/>
      <c r="J423" s="1071"/>
      <c r="K423" s="1071"/>
      <c r="L423" s="1071"/>
      <c r="M423" s="1071"/>
      <c r="N423" s="1072"/>
    </row>
    <row r="424" spans="1:14" s="889" customFormat="1" ht="14">
      <c r="A424" s="2773"/>
      <c r="B424" s="2756"/>
      <c r="C424" s="1101" t="s">
        <v>2540</v>
      </c>
      <c r="D424" s="1129">
        <f t="shared" ref="D424:E427" si="242">+D406</f>
        <v>1</v>
      </c>
      <c r="E424" s="1104">
        <f t="shared" si="242"/>
        <v>0.02</v>
      </c>
      <c r="F424" s="1055">
        <f t="shared" ref="F424:F432" si="243">SUM(G424:N424)</f>
        <v>0</v>
      </c>
      <c r="G424" s="1071">
        <f t="shared" ref="G424:J427" si="244">ROUNDDOWN(G406*$E424*$D424,0)</f>
        <v>0</v>
      </c>
      <c r="H424" s="1071">
        <f t="shared" si="244"/>
        <v>0</v>
      </c>
      <c r="I424" s="1071">
        <f t="shared" si="244"/>
        <v>0</v>
      </c>
      <c r="J424" s="1071">
        <f t="shared" si="244"/>
        <v>0</v>
      </c>
      <c r="K424" s="1071">
        <f t="shared" si="241"/>
        <v>0</v>
      </c>
      <c r="L424" s="1071">
        <f t="shared" si="241"/>
        <v>0</v>
      </c>
      <c r="M424" s="1071">
        <f t="shared" si="241"/>
        <v>0</v>
      </c>
      <c r="N424" s="1072">
        <f t="shared" si="241"/>
        <v>0</v>
      </c>
    </row>
    <row r="425" spans="1:14" s="889" customFormat="1" ht="14">
      <c r="A425" s="2773"/>
      <c r="B425" s="2756"/>
      <c r="C425" s="1105" t="s">
        <v>2541</v>
      </c>
      <c r="D425" s="1129">
        <f t="shared" si="242"/>
        <v>1</v>
      </c>
      <c r="E425" s="1104">
        <f t="shared" si="242"/>
        <v>0.02</v>
      </c>
      <c r="F425" s="1055">
        <f t="shared" si="243"/>
        <v>0</v>
      </c>
      <c r="G425" s="1071">
        <f t="shared" si="244"/>
        <v>0</v>
      </c>
      <c r="H425" s="1071">
        <f t="shared" si="244"/>
        <v>0</v>
      </c>
      <c r="I425" s="1071">
        <f t="shared" si="244"/>
        <v>0</v>
      </c>
      <c r="J425" s="1071">
        <f t="shared" si="244"/>
        <v>0</v>
      </c>
      <c r="K425" s="1071">
        <f t="shared" si="241"/>
        <v>0</v>
      </c>
      <c r="L425" s="1071">
        <f t="shared" si="241"/>
        <v>0</v>
      </c>
      <c r="M425" s="1071">
        <f t="shared" si="241"/>
        <v>0</v>
      </c>
      <c r="N425" s="1072">
        <f t="shared" si="241"/>
        <v>0</v>
      </c>
    </row>
    <row r="426" spans="1:14" s="889" customFormat="1" ht="14">
      <c r="A426" s="2773"/>
      <c r="B426" s="2756"/>
      <c r="C426" s="1105" t="s">
        <v>2619</v>
      </c>
      <c r="D426" s="1129">
        <f t="shared" si="242"/>
        <v>1</v>
      </c>
      <c r="E426" s="1104">
        <f t="shared" si="242"/>
        <v>0.02</v>
      </c>
      <c r="F426" s="1055">
        <f t="shared" si="243"/>
        <v>0</v>
      </c>
      <c r="G426" s="1071">
        <f t="shared" si="244"/>
        <v>0</v>
      </c>
      <c r="H426" s="1071">
        <f t="shared" si="244"/>
        <v>0</v>
      </c>
      <c r="I426" s="1071">
        <f t="shared" si="244"/>
        <v>0</v>
      </c>
      <c r="J426" s="1071">
        <f t="shared" si="244"/>
        <v>0</v>
      </c>
      <c r="K426" s="1071">
        <f t="shared" si="241"/>
        <v>0</v>
      </c>
      <c r="L426" s="1071">
        <f t="shared" si="241"/>
        <v>0</v>
      </c>
      <c r="M426" s="1071">
        <f t="shared" si="241"/>
        <v>0</v>
      </c>
      <c r="N426" s="1072">
        <f t="shared" si="241"/>
        <v>0</v>
      </c>
    </row>
    <row r="427" spans="1:14" s="889" customFormat="1" ht="14">
      <c r="A427" s="2773"/>
      <c r="B427" s="2757"/>
      <c r="C427" s="1101" t="s">
        <v>2649</v>
      </c>
      <c r="D427" s="1129">
        <f t="shared" si="242"/>
        <v>1</v>
      </c>
      <c r="E427" s="1104">
        <f t="shared" si="242"/>
        <v>0.02</v>
      </c>
      <c r="F427" s="1055">
        <f t="shared" si="243"/>
        <v>0</v>
      </c>
      <c r="G427" s="1071">
        <f t="shared" si="244"/>
        <v>0</v>
      </c>
      <c r="H427" s="1071">
        <f t="shared" si="244"/>
        <v>0</v>
      </c>
      <c r="I427" s="1071">
        <f t="shared" si="244"/>
        <v>0</v>
      </c>
      <c r="J427" s="1071">
        <f t="shared" si="244"/>
        <v>0</v>
      </c>
      <c r="K427" s="1071">
        <f t="shared" si="241"/>
        <v>0</v>
      </c>
      <c r="L427" s="1071">
        <f t="shared" si="241"/>
        <v>0</v>
      </c>
      <c r="M427" s="1071">
        <f t="shared" si="241"/>
        <v>0</v>
      </c>
      <c r="N427" s="1072">
        <f t="shared" si="241"/>
        <v>0</v>
      </c>
    </row>
    <row r="428" spans="1:14" s="889" customFormat="1" ht="14">
      <c r="A428" s="2773"/>
      <c r="B428" s="2794" t="s">
        <v>2650</v>
      </c>
      <c r="C428" s="1101" t="s">
        <v>2562</v>
      </c>
      <c r="D428" s="1147"/>
      <c r="E428" s="1148"/>
      <c r="F428" s="1055">
        <f t="shared" si="243"/>
        <v>0</v>
      </c>
      <c r="G428" s="1293">
        <f t="shared" ref="G428:N428" si="245">+G212+G59</f>
        <v>0</v>
      </c>
      <c r="H428" s="1293">
        <f t="shared" si="245"/>
        <v>0</v>
      </c>
      <c r="I428" s="1293">
        <f t="shared" si="245"/>
        <v>0</v>
      </c>
      <c r="J428" s="1293">
        <f t="shared" si="245"/>
        <v>0</v>
      </c>
      <c r="K428" s="1293">
        <f t="shared" si="245"/>
        <v>0</v>
      </c>
      <c r="L428" s="1293">
        <f t="shared" si="245"/>
        <v>0</v>
      </c>
      <c r="M428" s="1293">
        <f t="shared" si="245"/>
        <v>0</v>
      </c>
      <c r="N428" s="1294">
        <f t="shared" si="245"/>
        <v>0</v>
      </c>
    </row>
    <row r="429" spans="1:14" s="889" customFormat="1" ht="14">
      <c r="A429" s="2773"/>
      <c r="B429" s="2795"/>
      <c r="C429" s="1151" t="s">
        <v>2651</v>
      </c>
      <c r="D429" s="1147"/>
      <c r="E429" s="1148"/>
      <c r="F429" s="1055">
        <f t="shared" si="243"/>
        <v>0</v>
      </c>
      <c r="G429" s="905"/>
      <c r="H429" s="905"/>
      <c r="I429" s="905"/>
      <c r="J429" s="905"/>
      <c r="K429" s="905"/>
      <c r="L429" s="905"/>
      <c r="M429" s="905"/>
      <c r="N429" s="906"/>
    </row>
    <row r="430" spans="1:14" s="889" customFormat="1" ht="15" thickBot="1">
      <c r="A430" s="2777"/>
      <c r="B430" s="1152" t="s">
        <v>2632</v>
      </c>
      <c r="C430" s="1145" t="s">
        <v>2647</v>
      </c>
      <c r="D430" s="1147">
        <f>+D410</f>
        <v>1</v>
      </c>
      <c r="E430" s="1148">
        <f>+E410</f>
        <v>0</v>
      </c>
      <c r="F430" s="1055">
        <f t="shared" si="243"/>
        <v>0</v>
      </c>
      <c r="G430" s="1071">
        <f t="shared" ref="G430:N430" si="246">ROUNDDOWN(G410*$E430*$D430,0)</f>
        <v>0</v>
      </c>
      <c r="H430" s="1071">
        <f t="shared" si="246"/>
        <v>0</v>
      </c>
      <c r="I430" s="1071">
        <f t="shared" si="246"/>
        <v>0</v>
      </c>
      <c r="J430" s="1071">
        <f t="shared" si="246"/>
        <v>0</v>
      </c>
      <c r="K430" s="1071">
        <f t="shared" si="246"/>
        <v>0</v>
      </c>
      <c r="L430" s="1071">
        <f t="shared" si="246"/>
        <v>0</v>
      </c>
      <c r="M430" s="1071">
        <f t="shared" si="246"/>
        <v>0</v>
      </c>
      <c r="N430" s="1153">
        <f t="shared" si="246"/>
        <v>0</v>
      </c>
    </row>
    <row r="431" spans="1:14" s="889" customFormat="1" ht="15" thickTop="1">
      <c r="A431" s="1154"/>
      <c r="B431" s="1155"/>
      <c r="C431" s="1156" t="s">
        <v>2652</v>
      </c>
      <c r="D431" s="1157"/>
      <c r="E431" s="1158"/>
      <c r="F431" s="1159">
        <f t="shared" si="243"/>
        <v>24099612</v>
      </c>
      <c r="G431" s="1160">
        <f t="shared" ref="G431:N431" si="247">SUM(G416:G430)+G414</f>
        <v>4974486</v>
      </c>
      <c r="H431" s="1160">
        <f t="shared" si="247"/>
        <v>2684326</v>
      </c>
      <c r="I431" s="1160">
        <f t="shared" si="247"/>
        <v>16440800</v>
      </c>
      <c r="J431" s="1160">
        <f t="shared" si="247"/>
        <v>0</v>
      </c>
      <c r="K431" s="1160">
        <f t="shared" si="247"/>
        <v>0</v>
      </c>
      <c r="L431" s="1160">
        <f t="shared" si="247"/>
        <v>0</v>
      </c>
      <c r="M431" s="1160">
        <f t="shared" si="247"/>
        <v>0</v>
      </c>
      <c r="N431" s="1161">
        <f t="shared" si="247"/>
        <v>0</v>
      </c>
    </row>
    <row r="432" spans="1:14" s="889" customFormat="1" ht="14">
      <c r="A432" s="1162"/>
      <c r="B432" s="1163"/>
      <c r="C432" s="1063" t="s">
        <v>2653</v>
      </c>
      <c r="D432" s="1164"/>
      <c r="E432" s="938"/>
      <c r="F432" s="939">
        <f t="shared" si="243"/>
        <v>247026863</v>
      </c>
      <c r="G432" s="1064">
        <f t="shared" ref="G432:N432" si="248">+G307+G431</f>
        <v>52361452</v>
      </c>
      <c r="H432" s="1064">
        <f t="shared" si="248"/>
        <v>31592778</v>
      </c>
      <c r="I432" s="1064">
        <f t="shared" si="248"/>
        <v>163072633</v>
      </c>
      <c r="J432" s="1064">
        <f t="shared" si="248"/>
        <v>0</v>
      </c>
      <c r="K432" s="1064">
        <f t="shared" si="248"/>
        <v>0</v>
      </c>
      <c r="L432" s="1064">
        <f t="shared" si="248"/>
        <v>0</v>
      </c>
      <c r="M432" s="1064">
        <f t="shared" si="248"/>
        <v>0</v>
      </c>
      <c r="N432" s="1065">
        <f t="shared" si="248"/>
        <v>0</v>
      </c>
    </row>
    <row r="433" spans="1:14" s="889" customFormat="1" ht="14">
      <c r="A433" s="870"/>
      <c r="B433" s="871"/>
      <c r="C433" s="1301" t="s">
        <v>2716</v>
      </c>
      <c r="D433" s="1301"/>
      <c r="E433" s="1302"/>
      <c r="F433" s="1303"/>
      <c r="G433" s="1304"/>
      <c r="H433" s="1305"/>
      <c r="I433" s="1305"/>
      <c r="J433" s="1305"/>
      <c r="K433" s="1305"/>
      <c r="L433" s="1305"/>
      <c r="M433" s="1305"/>
      <c r="N433" s="1306" t="s">
        <v>2717</v>
      </c>
    </row>
    <row r="434" spans="1:14" s="889" customFormat="1" ht="14">
      <c r="A434" s="1285"/>
      <c r="B434" s="1286"/>
      <c r="C434" s="1286"/>
      <c r="D434" s="1286"/>
      <c r="E434" s="1286"/>
      <c r="F434" s="1034"/>
      <c r="G434" s="1037"/>
      <c r="H434" s="1037"/>
      <c r="I434" s="1037"/>
      <c r="J434" s="1037"/>
      <c r="K434" s="1037"/>
      <c r="L434" s="1037"/>
      <c r="M434" s="1037"/>
      <c r="N434" s="1307"/>
    </row>
    <row r="435" spans="1:14" s="889" customFormat="1" ht="14">
      <c r="A435" s="2778"/>
      <c r="B435" s="2779"/>
      <c r="C435" s="2780"/>
      <c r="D435" s="1166"/>
      <c r="E435" s="1082" t="s">
        <v>2656</v>
      </c>
      <c r="F435" s="1083" t="s">
        <v>2505</v>
      </c>
      <c r="G435" s="1084" t="str">
        <f t="shared" ref="G435:N435" si="249">+G302</f>
        <v>工事6</v>
      </c>
      <c r="H435" s="1084" t="str">
        <f t="shared" si="249"/>
        <v>工事7</v>
      </c>
      <c r="I435" s="1084" t="str">
        <f t="shared" si="249"/>
        <v>工事8</v>
      </c>
      <c r="J435" s="1084">
        <f t="shared" si="249"/>
        <v>0</v>
      </c>
      <c r="K435" s="1084">
        <f t="shared" si="249"/>
        <v>0</v>
      </c>
      <c r="L435" s="1084">
        <f t="shared" si="249"/>
        <v>0</v>
      </c>
      <c r="M435" s="1084">
        <f t="shared" si="249"/>
        <v>0</v>
      </c>
      <c r="N435" s="1085">
        <f t="shared" si="249"/>
        <v>0</v>
      </c>
    </row>
    <row r="436" spans="1:14" s="889" customFormat="1" ht="15" thickBot="1">
      <c r="A436" s="2781"/>
      <c r="B436" s="2782"/>
      <c r="C436" s="2783"/>
      <c r="D436" s="1167"/>
      <c r="E436" s="1168"/>
      <c r="F436" s="1044"/>
      <c r="G436" s="1169"/>
      <c r="H436" s="1169"/>
      <c r="I436" s="1169"/>
      <c r="J436" s="1169"/>
      <c r="K436" s="1169"/>
      <c r="L436" s="1169"/>
      <c r="M436" s="1169"/>
      <c r="N436" s="1170"/>
    </row>
    <row r="437" spans="1:14" s="889" customFormat="1" ht="15" thickBot="1">
      <c r="A437" s="1171"/>
      <c r="B437" s="1172"/>
      <c r="C437" s="1173" t="s">
        <v>2657</v>
      </c>
      <c r="D437" s="1174"/>
      <c r="E437" s="1175"/>
      <c r="F437" s="1176">
        <f>SUM(G437:N437)</f>
        <v>247026863</v>
      </c>
      <c r="G437" s="1177">
        <f t="shared" ref="G437:N437" si="250">IF(G438="",+G432,0)</f>
        <v>52361452</v>
      </c>
      <c r="H437" s="1177">
        <f t="shared" si="250"/>
        <v>31592778</v>
      </c>
      <c r="I437" s="1177">
        <f t="shared" si="250"/>
        <v>163072633</v>
      </c>
      <c r="J437" s="1177">
        <f t="shared" si="250"/>
        <v>0</v>
      </c>
      <c r="K437" s="1177">
        <f t="shared" si="250"/>
        <v>0</v>
      </c>
      <c r="L437" s="1177">
        <f t="shared" si="250"/>
        <v>0</v>
      </c>
      <c r="M437" s="1177">
        <f t="shared" si="250"/>
        <v>0</v>
      </c>
      <c r="N437" s="1178">
        <f t="shared" si="250"/>
        <v>0</v>
      </c>
    </row>
    <row r="438" spans="1:14" s="889" customFormat="1" ht="14">
      <c r="A438" s="1285"/>
      <c r="B438" s="1286"/>
      <c r="C438" s="1179" t="s">
        <v>2658</v>
      </c>
      <c r="D438" s="1180"/>
      <c r="E438" s="1181"/>
      <c r="F438" s="919">
        <f>F223</f>
        <v>0</v>
      </c>
      <c r="G438" s="919" t="str">
        <f>IF(G460=0,"",G432)</f>
        <v/>
      </c>
      <c r="H438" s="919" t="str">
        <f t="shared" ref="H438:N438" si="251">IF(H460=0,"",H432)</f>
        <v/>
      </c>
      <c r="I438" s="919" t="str">
        <f t="shared" si="251"/>
        <v/>
      </c>
      <c r="J438" s="919" t="str">
        <f t="shared" si="251"/>
        <v/>
      </c>
      <c r="K438" s="919" t="str">
        <f t="shared" si="251"/>
        <v/>
      </c>
      <c r="L438" s="919" t="str">
        <f t="shared" si="251"/>
        <v/>
      </c>
      <c r="M438" s="919" t="str">
        <f t="shared" si="251"/>
        <v/>
      </c>
      <c r="N438" s="1182" t="str">
        <f t="shared" si="251"/>
        <v/>
      </c>
    </row>
    <row r="439" spans="1:14" s="889" customFormat="1" ht="14">
      <c r="A439" s="1162"/>
      <c r="B439" s="1163"/>
      <c r="C439" s="2784" t="s">
        <v>2659</v>
      </c>
      <c r="D439" s="2784"/>
      <c r="E439" s="2785"/>
      <c r="F439" s="939">
        <f>F437+F438-F447</f>
        <v>247026863</v>
      </c>
      <c r="G439" s="1064"/>
      <c r="H439" s="1064"/>
      <c r="I439" s="1064"/>
      <c r="J439" s="1064"/>
      <c r="K439" s="1064"/>
      <c r="L439" s="1064"/>
      <c r="M439" s="1064"/>
      <c r="N439" s="1065"/>
    </row>
    <row r="440" spans="1:14" s="889" customFormat="1" ht="14">
      <c r="A440" s="870"/>
      <c r="B440" s="871"/>
      <c r="C440" s="871"/>
      <c r="D440" s="1183"/>
      <c r="E440" s="874" t="str">
        <f>E302</f>
        <v>無し</v>
      </c>
      <c r="F440" s="2786" t="s">
        <v>2660</v>
      </c>
      <c r="G440" s="2787"/>
      <c r="H440" s="1068"/>
      <c r="I440" s="1068"/>
      <c r="J440" s="1068"/>
      <c r="K440" s="1068"/>
      <c r="L440" s="1068"/>
      <c r="M440" s="1068"/>
      <c r="N440" s="1069"/>
    </row>
    <row r="441" spans="1:14" s="889" customFormat="1" ht="14">
      <c r="A441" s="2788" t="s">
        <v>2661</v>
      </c>
      <c r="B441" s="2789"/>
      <c r="C441" s="2790"/>
      <c r="D441" s="1184"/>
      <c r="E441" s="1185" t="str">
        <f>+E303</f>
        <v>有り</v>
      </c>
      <c r="F441" s="2791" t="s">
        <v>2662</v>
      </c>
      <c r="G441" s="2792"/>
      <c r="H441" s="1064"/>
      <c r="I441" s="1064"/>
      <c r="J441" s="1064"/>
      <c r="K441" s="1064"/>
      <c r="L441" s="1064"/>
      <c r="M441" s="1064"/>
      <c r="N441" s="1065"/>
    </row>
    <row r="442" spans="1:14" s="889" customFormat="1" ht="14">
      <c r="A442" s="2793"/>
      <c r="B442" s="1186" t="s">
        <v>161</v>
      </c>
      <c r="C442" s="1187" t="s">
        <v>2663</v>
      </c>
      <c r="D442" s="1188">
        <v>1</v>
      </c>
      <c r="E442" s="1189">
        <f>+G511/100</f>
        <v>0.11869999999999999</v>
      </c>
      <c r="F442" s="900">
        <f>SUM(G442:N442)</f>
        <v>247026863</v>
      </c>
      <c r="G442" s="1068">
        <f t="shared" ref="G442:N442" si="252">+G437-G447</f>
        <v>52361452</v>
      </c>
      <c r="H442" s="1068">
        <f t="shared" si="252"/>
        <v>31592778</v>
      </c>
      <c r="I442" s="1068">
        <f>+I437-I447</f>
        <v>163072633</v>
      </c>
      <c r="J442" s="1068">
        <f t="shared" si="252"/>
        <v>0</v>
      </c>
      <c r="K442" s="1068">
        <f t="shared" si="252"/>
        <v>0</v>
      </c>
      <c r="L442" s="1068">
        <f t="shared" si="252"/>
        <v>0</v>
      </c>
      <c r="M442" s="1068">
        <f t="shared" si="252"/>
        <v>0</v>
      </c>
      <c r="N442" s="1069">
        <f t="shared" si="252"/>
        <v>0</v>
      </c>
    </row>
    <row r="443" spans="1:14" s="889" customFormat="1" ht="14">
      <c r="A443" s="2753"/>
      <c r="B443" s="2758" t="s">
        <v>2664</v>
      </c>
      <c r="C443" s="903" t="s">
        <v>2665</v>
      </c>
      <c r="D443" s="1129">
        <v>0.05</v>
      </c>
      <c r="E443" s="1104">
        <f>IF(OR(G299="無し",G299="なし"),IF(E440="無し",E442,0),0)</f>
        <v>0.11869999999999999</v>
      </c>
      <c r="F443" s="904">
        <f>SUM(G443:N443)</f>
        <v>247026863</v>
      </c>
      <c r="G443" s="905">
        <f>IF(G460=0,+G442,0)</f>
        <v>52361452</v>
      </c>
      <c r="H443" s="905">
        <f>IF(H460=0,+H442,0)</f>
        <v>31592778</v>
      </c>
      <c r="I443" s="905">
        <f t="shared" ref="I443:N443" si="253">IF(I460=0,+I442,0)</f>
        <v>163072633</v>
      </c>
      <c r="J443" s="905">
        <f t="shared" si="253"/>
        <v>0</v>
      </c>
      <c r="K443" s="905">
        <f t="shared" si="253"/>
        <v>0</v>
      </c>
      <c r="L443" s="905">
        <f t="shared" si="253"/>
        <v>0</v>
      </c>
      <c r="M443" s="905">
        <f t="shared" si="253"/>
        <v>0</v>
      </c>
      <c r="N443" s="906">
        <f t="shared" si="253"/>
        <v>0</v>
      </c>
    </row>
    <row r="444" spans="1:14" s="889" customFormat="1" ht="14">
      <c r="A444" s="2753"/>
      <c r="B444" s="2757"/>
      <c r="C444" s="903" t="s">
        <v>2666</v>
      </c>
      <c r="D444" s="1190">
        <v>1</v>
      </c>
      <c r="E444" s="1104">
        <f>IF(OR(E441="無し",E441="なし"),0,0.0004)</f>
        <v>4.0000000000000002E-4</v>
      </c>
      <c r="F444" s="904">
        <f>SUM(G444:N444)</f>
        <v>247026863</v>
      </c>
      <c r="G444" s="905">
        <f>IF(G460=0,+G442,0)</f>
        <v>52361452</v>
      </c>
      <c r="H444" s="905">
        <f t="shared" ref="H444:N444" si="254">IF(H460=0,+H442,0)</f>
        <v>31592778</v>
      </c>
      <c r="I444" s="905">
        <f t="shared" si="254"/>
        <v>163072633</v>
      </c>
      <c r="J444" s="905">
        <f t="shared" si="254"/>
        <v>0</v>
      </c>
      <c r="K444" s="905">
        <f t="shared" si="254"/>
        <v>0</v>
      </c>
      <c r="L444" s="905">
        <f t="shared" si="254"/>
        <v>0</v>
      </c>
      <c r="M444" s="905">
        <f t="shared" si="254"/>
        <v>0</v>
      </c>
      <c r="N444" s="906">
        <f t="shared" si="254"/>
        <v>0</v>
      </c>
    </row>
    <row r="445" spans="1:14" s="889" customFormat="1" ht="14">
      <c r="A445" s="2753"/>
      <c r="B445" s="1191"/>
      <c r="C445" s="903"/>
      <c r="D445" s="1192"/>
      <c r="E445" s="1192"/>
      <c r="F445" s="904"/>
      <c r="G445" s="905"/>
      <c r="H445" s="905"/>
      <c r="I445" s="905"/>
      <c r="J445" s="905"/>
      <c r="K445" s="905"/>
      <c r="L445" s="905"/>
      <c r="M445" s="905"/>
      <c r="N445" s="906"/>
    </row>
    <row r="446" spans="1:14" s="889" customFormat="1" ht="14">
      <c r="A446" s="2753"/>
      <c r="B446" s="1191"/>
      <c r="C446" s="903"/>
      <c r="D446" s="1192"/>
      <c r="E446" s="1192"/>
      <c r="F446" s="904"/>
      <c r="G446" s="905"/>
      <c r="H446" s="905"/>
      <c r="I446" s="905"/>
      <c r="J446" s="905"/>
      <c r="K446" s="905"/>
      <c r="L446" s="905"/>
      <c r="M446" s="905"/>
      <c r="N446" s="906"/>
    </row>
    <row r="447" spans="1:14" s="889" customFormat="1" ht="14">
      <c r="A447" s="2753"/>
      <c r="B447" s="2758" t="s">
        <v>2667</v>
      </c>
      <c r="C447" s="1101" t="str">
        <f>+C352</f>
        <v>(17)下水道使用料、各種負担金（共通仮設）</v>
      </c>
      <c r="D447" s="1193">
        <v>1</v>
      </c>
      <c r="E447" s="1194">
        <v>0</v>
      </c>
      <c r="F447" s="904">
        <f>SUM(G447:N447)</f>
        <v>0</v>
      </c>
      <c r="G447" s="905">
        <f t="shared" ref="G447:N447" si="255">+G352</f>
        <v>0</v>
      </c>
      <c r="H447" s="905">
        <f t="shared" si="255"/>
        <v>0</v>
      </c>
      <c r="I447" s="905">
        <f t="shared" si="255"/>
        <v>0</v>
      </c>
      <c r="J447" s="905">
        <f t="shared" si="255"/>
        <v>0</v>
      </c>
      <c r="K447" s="905">
        <f t="shared" si="255"/>
        <v>0</v>
      </c>
      <c r="L447" s="905">
        <f t="shared" si="255"/>
        <v>0</v>
      </c>
      <c r="M447" s="905">
        <f t="shared" si="255"/>
        <v>0</v>
      </c>
      <c r="N447" s="906">
        <f t="shared" si="255"/>
        <v>0</v>
      </c>
    </row>
    <row r="448" spans="1:14" s="889" customFormat="1" ht="14">
      <c r="A448" s="2753"/>
      <c r="B448" s="2756"/>
      <c r="C448" s="1195"/>
      <c r="D448" s="1101"/>
      <c r="E448" s="1194"/>
      <c r="F448" s="904"/>
      <c r="G448" s="905"/>
      <c r="H448" s="905"/>
      <c r="I448" s="905"/>
      <c r="J448" s="905"/>
      <c r="K448" s="905"/>
      <c r="L448" s="905"/>
      <c r="M448" s="905"/>
      <c r="N448" s="906"/>
    </row>
    <row r="449" spans="1:14" s="889" customFormat="1" ht="14">
      <c r="A449" s="2754"/>
      <c r="B449" s="2759"/>
      <c r="C449" s="1196"/>
      <c r="D449" s="1145"/>
      <c r="E449" s="1197"/>
      <c r="F449" s="939"/>
      <c r="G449" s="1064"/>
      <c r="H449" s="1064"/>
      <c r="I449" s="1064"/>
      <c r="J449" s="1064"/>
      <c r="K449" s="1064"/>
      <c r="L449" s="1064"/>
      <c r="M449" s="1064"/>
      <c r="N449" s="1065"/>
    </row>
    <row r="450" spans="1:14" s="889" customFormat="1" ht="14">
      <c r="A450" s="870"/>
      <c r="B450" s="871"/>
      <c r="C450" s="1198"/>
      <c r="D450" s="1199"/>
      <c r="E450" s="1200"/>
      <c r="F450" s="900"/>
      <c r="G450" s="1068"/>
      <c r="H450" s="1068"/>
      <c r="I450" s="1068"/>
      <c r="J450" s="1068"/>
      <c r="K450" s="1068"/>
      <c r="L450" s="1068"/>
      <c r="M450" s="1068"/>
      <c r="N450" s="1069"/>
    </row>
    <row r="451" spans="1:14" s="889" customFormat="1" ht="14">
      <c r="A451" s="2788" t="s">
        <v>2668</v>
      </c>
      <c r="B451" s="2789"/>
      <c r="C451" s="2790"/>
      <c r="D451" s="1201"/>
      <c r="E451" s="1202"/>
      <c r="F451" s="1203"/>
      <c r="G451" s="1064"/>
      <c r="H451" s="1064"/>
      <c r="I451" s="1064"/>
      <c r="J451" s="1064"/>
      <c r="K451" s="1064"/>
      <c r="L451" s="1064"/>
      <c r="M451" s="1064"/>
      <c r="N451" s="1065"/>
    </row>
    <row r="452" spans="1:14" s="889" customFormat="1" ht="14">
      <c r="A452" s="1285"/>
      <c r="B452" s="1204" t="s">
        <v>161</v>
      </c>
      <c r="C452" s="1187" t="s">
        <v>2663</v>
      </c>
      <c r="D452" s="1188">
        <f t="shared" ref="D452:E454" si="256">+D442</f>
        <v>1</v>
      </c>
      <c r="E452" s="1205">
        <f>+E442</f>
        <v>0.11869999999999999</v>
      </c>
      <c r="F452" s="904">
        <f>INT(D452*E452*F442)</f>
        <v>29322088</v>
      </c>
      <c r="G452" s="1068">
        <f>F452-SUM(H452:N452)</f>
        <v>6215304</v>
      </c>
      <c r="H452" s="1068">
        <f>IF(H442=0,0,ROUND($F452/$F442*H442,0))</f>
        <v>3750063</v>
      </c>
      <c r="I452" s="1068">
        <f t="shared" ref="I452:N452" si="257">IF(I442=0,0,ROUND($F452/$F442*I442,0))</f>
        <v>19356721</v>
      </c>
      <c r="J452" s="1068">
        <f t="shared" si="257"/>
        <v>0</v>
      </c>
      <c r="K452" s="1068">
        <f t="shared" si="257"/>
        <v>0</v>
      </c>
      <c r="L452" s="1068">
        <f t="shared" si="257"/>
        <v>0</v>
      </c>
      <c r="M452" s="1068">
        <f t="shared" si="257"/>
        <v>0</v>
      </c>
      <c r="N452" s="1069">
        <f t="shared" si="257"/>
        <v>0</v>
      </c>
    </row>
    <row r="453" spans="1:14" s="889" customFormat="1" ht="14">
      <c r="A453" s="1285"/>
      <c r="B453" s="2758" t="s">
        <v>2664</v>
      </c>
      <c r="C453" s="903" t="s">
        <v>2665</v>
      </c>
      <c r="D453" s="1193">
        <f t="shared" si="256"/>
        <v>0.05</v>
      </c>
      <c r="E453" s="1104">
        <f t="shared" si="256"/>
        <v>0.11869999999999999</v>
      </c>
      <c r="F453" s="904">
        <f>INT(D453*E453*F443)</f>
        <v>1466104</v>
      </c>
      <c r="G453" s="905">
        <f>F453-SUM(H453:N453)</f>
        <v>310765</v>
      </c>
      <c r="H453" s="905">
        <f t="shared" ref="H453:N454" si="258">IF(H443=0,0,ROUND($F453/$F443*H443,0))</f>
        <v>187503</v>
      </c>
      <c r="I453" s="905">
        <f t="shared" si="258"/>
        <v>967836</v>
      </c>
      <c r="J453" s="905">
        <f t="shared" si="258"/>
        <v>0</v>
      </c>
      <c r="K453" s="905">
        <f t="shared" si="258"/>
        <v>0</v>
      </c>
      <c r="L453" s="905">
        <f t="shared" si="258"/>
        <v>0</v>
      </c>
      <c r="M453" s="905">
        <f t="shared" si="258"/>
        <v>0</v>
      </c>
      <c r="N453" s="906">
        <f t="shared" si="258"/>
        <v>0</v>
      </c>
    </row>
    <row r="454" spans="1:14" s="889" customFormat="1" ht="14">
      <c r="A454" s="1285"/>
      <c r="B454" s="2757"/>
      <c r="C454" s="903" t="s">
        <v>2666</v>
      </c>
      <c r="D454" s="1193">
        <f t="shared" si="256"/>
        <v>1</v>
      </c>
      <c r="E454" s="1104">
        <f t="shared" si="256"/>
        <v>4.0000000000000002E-4</v>
      </c>
      <c r="F454" s="904">
        <f>INT(D454*E454*F444)</f>
        <v>98810</v>
      </c>
      <c r="G454" s="905">
        <f>F454-SUM(H454:N454)</f>
        <v>20944</v>
      </c>
      <c r="H454" s="905">
        <f>IF(H444=0,0,ROUND($F454/$F444*H444,0))</f>
        <v>12637</v>
      </c>
      <c r="I454" s="905">
        <f t="shared" si="258"/>
        <v>65229</v>
      </c>
      <c r="J454" s="905">
        <f t="shared" si="258"/>
        <v>0</v>
      </c>
      <c r="K454" s="905">
        <f t="shared" si="258"/>
        <v>0</v>
      </c>
      <c r="L454" s="905">
        <f t="shared" si="258"/>
        <v>0</v>
      </c>
      <c r="M454" s="905">
        <f t="shared" si="258"/>
        <v>0</v>
      </c>
      <c r="N454" s="906">
        <f t="shared" si="258"/>
        <v>0</v>
      </c>
    </row>
    <row r="455" spans="1:14" s="889" customFormat="1" ht="14">
      <c r="A455" s="1285"/>
      <c r="B455" s="1191"/>
      <c r="C455" s="903"/>
      <c r="D455" s="1192"/>
      <c r="E455" s="1192"/>
      <c r="F455" s="904"/>
      <c r="G455" s="905"/>
      <c r="H455" s="905"/>
      <c r="I455" s="905"/>
      <c r="J455" s="905"/>
      <c r="K455" s="905"/>
      <c r="L455" s="905"/>
      <c r="M455" s="905"/>
      <c r="N455" s="906"/>
    </row>
    <row r="456" spans="1:14" s="889" customFormat="1" ht="14">
      <c r="A456" s="1285"/>
      <c r="B456" s="1191"/>
      <c r="C456" s="903"/>
      <c r="D456" s="1192"/>
      <c r="E456" s="1192"/>
      <c r="F456" s="904"/>
      <c r="G456" s="905"/>
      <c r="H456" s="905"/>
      <c r="I456" s="905"/>
      <c r="J456" s="905"/>
      <c r="K456" s="905"/>
      <c r="L456" s="905"/>
      <c r="M456" s="905"/>
      <c r="N456" s="906"/>
    </row>
    <row r="457" spans="1:14" s="889" customFormat="1" ht="14">
      <c r="A457" s="1285"/>
      <c r="B457" s="2758" t="s">
        <v>2667</v>
      </c>
      <c r="C457" s="1101" t="str">
        <f>+C352</f>
        <v>(17)下水道使用料、各種負担金（共通仮設）</v>
      </c>
      <c r="D457" s="1193">
        <f>+D447</f>
        <v>1</v>
      </c>
      <c r="E457" s="1104">
        <f>+E447</f>
        <v>0</v>
      </c>
      <c r="F457" s="904">
        <f>INT(D457*E457*F447)</f>
        <v>0</v>
      </c>
      <c r="G457" s="905">
        <f>F457-SUM(H457:N457)</f>
        <v>0</v>
      </c>
      <c r="H457" s="905">
        <f t="shared" ref="H457:N457" si="259">IF(H447=0,0,ROUND($F457/$F447*H447,0))</f>
        <v>0</v>
      </c>
      <c r="I457" s="905">
        <f t="shared" si="259"/>
        <v>0</v>
      </c>
      <c r="J457" s="905">
        <f t="shared" si="259"/>
        <v>0</v>
      </c>
      <c r="K457" s="905">
        <f t="shared" si="259"/>
        <v>0</v>
      </c>
      <c r="L457" s="905">
        <f t="shared" si="259"/>
        <v>0</v>
      </c>
      <c r="M457" s="905">
        <f t="shared" si="259"/>
        <v>0</v>
      </c>
      <c r="N457" s="906">
        <f t="shared" si="259"/>
        <v>0</v>
      </c>
    </row>
    <row r="458" spans="1:14" s="889" customFormat="1" ht="14">
      <c r="A458" s="1285"/>
      <c r="B458" s="2756"/>
      <c r="C458" s="1195"/>
      <c r="D458" s="1101"/>
      <c r="E458" s="1192">
        <f>+G449</f>
        <v>0</v>
      </c>
      <c r="F458" s="904"/>
      <c r="G458" s="905"/>
      <c r="H458" s="905"/>
      <c r="I458" s="905"/>
      <c r="J458" s="905"/>
      <c r="K458" s="905"/>
      <c r="L458" s="905"/>
      <c r="M458" s="905"/>
      <c r="N458" s="906"/>
    </row>
    <row r="459" spans="1:14" s="889" customFormat="1" ht="14">
      <c r="A459" s="1206"/>
      <c r="B459" s="2757"/>
      <c r="C459" s="1195"/>
      <c r="D459" s="1101"/>
      <c r="E459" s="1192">
        <f>+G450</f>
        <v>0</v>
      </c>
      <c r="F459" s="904"/>
      <c r="G459" s="905"/>
      <c r="H459" s="905"/>
      <c r="I459" s="905"/>
      <c r="J459" s="905"/>
      <c r="K459" s="905"/>
      <c r="L459" s="905"/>
      <c r="M459" s="905"/>
      <c r="N459" s="906"/>
    </row>
    <row r="460" spans="1:14" s="889" customFormat="1" ht="14">
      <c r="A460" s="1206"/>
      <c r="B460" s="2794" t="s">
        <v>2650</v>
      </c>
      <c r="C460" s="1120" t="s">
        <v>2669</v>
      </c>
      <c r="D460" s="1207"/>
      <c r="E460" s="1208"/>
      <c r="F460" s="1209">
        <f>SUM(G460:N460)</f>
        <v>0</v>
      </c>
      <c r="G460" s="1308">
        <f t="shared" ref="G460:N460" si="260">+G245+G68</f>
        <v>0</v>
      </c>
      <c r="H460" s="1308">
        <f t="shared" si="260"/>
        <v>0</v>
      </c>
      <c r="I460" s="1308">
        <f t="shared" si="260"/>
        <v>0</v>
      </c>
      <c r="J460" s="1308">
        <f t="shared" si="260"/>
        <v>0</v>
      </c>
      <c r="K460" s="1308">
        <f t="shared" si="260"/>
        <v>0</v>
      </c>
      <c r="L460" s="1308">
        <f t="shared" si="260"/>
        <v>0</v>
      </c>
      <c r="M460" s="1308">
        <f t="shared" si="260"/>
        <v>0</v>
      </c>
      <c r="N460" s="1309">
        <f t="shared" si="260"/>
        <v>0</v>
      </c>
    </row>
    <row r="461" spans="1:14" s="889" customFormat="1" ht="14">
      <c r="A461" s="1285"/>
      <c r="B461" s="2810"/>
      <c r="C461" s="1212" t="s">
        <v>2670</v>
      </c>
      <c r="D461" s="1147"/>
      <c r="E461" s="1148"/>
      <c r="F461" s="1055"/>
      <c r="G461" s="905"/>
      <c r="H461" s="905"/>
      <c r="I461" s="905"/>
      <c r="J461" s="905"/>
      <c r="K461" s="905"/>
      <c r="L461" s="905"/>
      <c r="M461" s="905"/>
      <c r="N461" s="906"/>
    </row>
    <row r="462" spans="1:14" s="889" customFormat="1" ht="14">
      <c r="A462" s="1171"/>
      <c r="B462" s="1172"/>
      <c r="C462" s="1172"/>
      <c r="D462" s="875"/>
      <c r="E462" s="875"/>
      <c r="F462" s="900"/>
      <c r="G462" s="1068"/>
      <c r="H462" s="1068"/>
      <c r="I462" s="1068"/>
      <c r="J462" s="1068"/>
      <c r="K462" s="1068"/>
      <c r="L462" s="1068"/>
      <c r="M462" s="1068"/>
      <c r="N462" s="1069"/>
    </row>
    <row r="463" spans="1:14" s="889" customFormat="1" ht="14">
      <c r="A463" s="1213"/>
      <c r="B463" s="1073"/>
      <c r="C463" s="698" t="s">
        <v>2672</v>
      </c>
      <c r="D463" s="1195"/>
      <c r="E463" s="903"/>
      <c r="F463" s="904">
        <f>SUM(G463:N463)</f>
        <v>30887002</v>
      </c>
      <c r="G463" s="905">
        <f>SUM(G452:G461)</f>
        <v>6547013</v>
      </c>
      <c r="H463" s="905">
        <f t="shared" ref="H463:N463" si="261">SUM(H452:H461)</f>
        <v>3950203</v>
      </c>
      <c r="I463" s="905">
        <f t="shared" si="261"/>
        <v>20389786</v>
      </c>
      <c r="J463" s="905">
        <f t="shared" si="261"/>
        <v>0</v>
      </c>
      <c r="K463" s="905">
        <f t="shared" si="261"/>
        <v>0</v>
      </c>
      <c r="L463" s="905">
        <f t="shared" si="261"/>
        <v>0</v>
      </c>
      <c r="M463" s="905">
        <f t="shared" si="261"/>
        <v>0</v>
      </c>
      <c r="N463" s="906">
        <f t="shared" si="261"/>
        <v>0</v>
      </c>
    </row>
    <row r="464" spans="1:14" s="889" customFormat="1" ht="14">
      <c r="A464" s="1213"/>
      <c r="B464" s="1073"/>
      <c r="C464" s="698" t="s">
        <v>2653</v>
      </c>
      <c r="D464" s="1195"/>
      <c r="E464" s="903"/>
      <c r="F464" s="904">
        <f>SUM(G464:N464)</f>
        <v>247026863</v>
      </c>
      <c r="G464" s="905">
        <f t="shared" ref="G464:N464" si="262">+G432</f>
        <v>52361452</v>
      </c>
      <c r="H464" s="905">
        <f t="shared" si="262"/>
        <v>31592778</v>
      </c>
      <c r="I464" s="905">
        <f t="shared" si="262"/>
        <v>163072633</v>
      </c>
      <c r="J464" s="905">
        <f t="shared" si="262"/>
        <v>0</v>
      </c>
      <c r="K464" s="905">
        <f t="shared" si="262"/>
        <v>0</v>
      </c>
      <c r="L464" s="905">
        <f t="shared" si="262"/>
        <v>0</v>
      </c>
      <c r="M464" s="905">
        <f t="shared" si="262"/>
        <v>0</v>
      </c>
      <c r="N464" s="906">
        <f t="shared" si="262"/>
        <v>0</v>
      </c>
    </row>
    <row r="465" spans="1:14" s="889" customFormat="1" ht="15" thickBot="1">
      <c r="A465" s="1214"/>
      <c r="B465" s="1215"/>
      <c r="C465" s="1216" t="s">
        <v>2673</v>
      </c>
      <c r="D465" s="1217"/>
      <c r="E465" s="1218"/>
      <c r="F465" s="1135">
        <f>SUM(G465:N465)</f>
        <v>277913865</v>
      </c>
      <c r="G465" s="1219">
        <f t="shared" ref="G465:N465" si="263">SUM(G463:G464)</f>
        <v>58908465</v>
      </c>
      <c r="H465" s="1219">
        <f t="shared" si="263"/>
        <v>35542981</v>
      </c>
      <c r="I465" s="1219">
        <f t="shared" si="263"/>
        <v>183462419</v>
      </c>
      <c r="J465" s="1219">
        <f t="shared" si="263"/>
        <v>0</v>
      </c>
      <c r="K465" s="1219">
        <f t="shared" si="263"/>
        <v>0</v>
      </c>
      <c r="L465" s="1219">
        <f t="shared" si="263"/>
        <v>0</v>
      </c>
      <c r="M465" s="1219">
        <f t="shared" si="263"/>
        <v>0</v>
      </c>
      <c r="N465" s="1220">
        <f t="shared" si="263"/>
        <v>0</v>
      </c>
    </row>
    <row r="466" spans="1:14" s="889" customFormat="1" ht="15" thickTop="1">
      <c r="A466" s="1285"/>
      <c r="B466" s="1286"/>
      <c r="C466" s="1286"/>
      <c r="D466" s="918"/>
      <c r="E466" s="918"/>
      <c r="F466" s="919"/>
      <c r="G466" s="1221">
        <f t="shared" ref="G466:N466" si="264">ROUNDDOWN(G465,-3)</f>
        <v>58908000</v>
      </c>
      <c r="H466" s="1221">
        <f t="shared" si="264"/>
        <v>35542000</v>
      </c>
      <c r="I466" s="1221">
        <f t="shared" si="264"/>
        <v>183462000</v>
      </c>
      <c r="J466" s="1221">
        <f t="shared" si="264"/>
        <v>0</v>
      </c>
      <c r="K466" s="1221">
        <f t="shared" si="264"/>
        <v>0</v>
      </c>
      <c r="L466" s="1221">
        <f t="shared" si="264"/>
        <v>0</v>
      </c>
      <c r="M466" s="1221">
        <f t="shared" si="264"/>
        <v>0</v>
      </c>
      <c r="N466" s="1222">
        <f t="shared" si="264"/>
        <v>0</v>
      </c>
    </row>
    <row r="467" spans="1:14" s="889" customFormat="1" ht="14">
      <c r="A467" s="1213"/>
      <c r="B467" s="1073"/>
      <c r="C467" s="698" t="s">
        <v>2653</v>
      </c>
      <c r="D467" s="1195"/>
      <c r="E467" s="903"/>
      <c r="F467" s="904">
        <f>SUM(G467:N467)</f>
        <v>247026863</v>
      </c>
      <c r="G467" s="905">
        <f>+G464</f>
        <v>52361452</v>
      </c>
      <c r="H467" s="905">
        <f t="shared" ref="H467:N467" si="265">+H464</f>
        <v>31592778</v>
      </c>
      <c r="I467" s="905">
        <f t="shared" si="265"/>
        <v>163072633</v>
      </c>
      <c r="J467" s="905">
        <f t="shared" si="265"/>
        <v>0</v>
      </c>
      <c r="K467" s="905">
        <f t="shared" si="265"/>
        <v>0</v>
      </c>
      <c r="L467" s="905">
        <f t="shared" si="265"/>
        <v>0</v>
      </c>
      <c r="M467" s="905">
        <f t="shared" si="265"/>
        <v>0</v>
      </c>
      <c r="N467" s="906">
        <f t="shared" si="265"/>
        <v>0</v>
      </c>
    </row>
    <row r="468" spans="1:14" s="889" customFormat="1" ht="14">
      <c r="A468" s="1213"/>
      <c r="B468" s="1073"/>
      <c r="C468" s="698" t="s">
        <v>2674</v>
      </c>
      <c r="D468" s="1195"/>
      <c r="E468" s="1192"/>
      <c r="F468" s="904">
        <f>SUM(G468:N468)</f>
        <v>30873137</v>
      </c>
      <c r="G468" s="905">
        <f>+G463-(G465-G470)</f>
        <v>6544548</v>
      </c>
      <c r="H468" s="905">
        <f t="shared" ref="H468:N468" si="266">+H463-(H465-H470)</f>
        <v>3947222</v>
      </c>
      <c r="I468" s="905">
        <f t="shared" si="266"/>
        <v>20381367</v>
      </c>
      <c r="J468" s="905">
        <f t="shared" si="266"/>
        <v>0</v>
      </c>
      <c r="K468" s="905">
        <f t="shared" si="266"/>
        <v>0</v>
      </c>
      <c r="L468" s="905">
        <f t="shared" si="266"/>
        <v>0</v>
      </c>
      <c r="M468" s="905">
        <f t="shared" si="266"/>
        <v>0</v>
      </c>
      <c r="N468" s="906">
        <f t="shared" si="266"/>
        <v>0</v>
      </c>
    </row>
    <row r="469" spans="1:14" s="889" customFormat="1" ht="14">
      <c r="A469" s="1213"/>
      <c r="B469" s="1073"/>
      <c r="C469" s="1073"/>
      <c r="D469" s="903"/>
      <c r="E469" s="1223">
        <f>SUM(G466:N466)</f>
        <v>277912000</v>
      </c>
      <c r="F469" s="904" t="s">
        <v>2675</v>
      </c>
      <c r="G469" s="905">
        <f t="shared" ref="G469:N469" si="267">+G463-G468</f>
        <v>2465</v>
      </c>
      <c r="H469" s="905">
        <f t="shared" si="267"/>
        <v>2981</v>
      </c>
      <c r="I469" s="905">
        <f t="shared" si="267"/>
        <v>8419</v>
      </c>
      <c r="J469" s="905">
        <f t="shared" si="267"/>
        <v>0</v>
      </c>
      <c r="K469" s="905">
        <f t="shared" si="267"/>
        <v>0</v>
      </c>
      <c r="L469" s="905">
        <f t="shared" si="267"/>
        <v>0</v>
      </c>
      <c r="M469" s="1224">
        <f t="shared" si="267"/>
        <v>0</v>
      </c>
      <c r="N469" s="1225">
        <f t="shared" si="267"/>
        <v>0</v>
      </c>
    </row>
    <row r="470" spans="1:14" s="889" customFormat="1" ht="14">
      <c r="A470" s="1226"/>
      <c r="B470" s="1054"/>
      <c r="C470" s="1054" t="s">
        <v>2676</v>
      </c>
      <c r="D470" s="1227"/>
      <c r="E470" s="1223">
        <f>ROUNDDOWN(E469,4-LEN(E469))</f>
        <v>277900000</v>
      </c>
      <c r="F470" s="1228">
        <f>+E470</f>
        <v>277900000</v>
      </c>
      <c r="G470" s="1224">
        <f>IF(F471+SUM(H470:N470)=F470,F471,F470-SUM(H470:N470))</f>
        <v>58906000</v>
      </c>
      <c r="H470" s="1224">
        <f>IF(H460=0,+H466-ROUND($E$471*H465/$F$465,-3),H465)</f>
        <v>35540000</v>
      </c>
      <c r="I470" s="1224">
        <f t="shared" ref="I470:N470" si="268">IF(I460=0,+I466-ROUND($E$471*I465/$F$465,-3),I465)</f>
        <v>183454000</v>
      </c>
      <c r="J470" s="1224">
        <f t="shared" si="268"/>
        <v>0</v>
      </c>
      <c r="K470" s="1224">
        <f t="shared" si="268"/>
        <v>0</v>
      </c>
      <c r="L470" s="1224">
        <f t="shared" si="268"/>
        <v>0</v>
      </c>
      <c r="M470" s="1224">
        <f t="shared" si="268"/>
        <v>0</v>
      </c>
      <c r="N470" s="1225">
        <f t="shared" si="268"/>
        <v>0</v>
      </c>
    </row>
    <row r="471" spans="1:14" s="889" customFormat="1" ht="14">
      <c r="A471" s="1229"/>
      <c r="B471" s="1230"/>
      <c r="C471" s="1230"/>
      <c r="D471" s="1231"/>
      <c r="E471" s="1232">
        <f>E469-E470</f>
        <v>12000</v>
      </c>
      <c r="F471" s="1233">
        <f>+G466-ROUND($E$471*G465/$F$465,-3)</f>
        <v>58905000</v>
      </c>
      <c r="G471" s="1232">
        <f t="shared" ref="G471:N471" si="269">IF(LEN(G465)&lt;=7,-3,IF(LEN(G465)=8,-4,IF(LEN(G465)&gt;=9,-5,-6)))</f>
        <v>-4</v>
      </c>
      <c r="H471" s="1232">
        <f t="shared" si="269"/>
        <v>-4</v>
      </c>
      <c r="I471" s="1232">
        <f t="shared" si="269"/>
        <v>-5</v>
      </c>
      <c r="J471" s="1232">
        <f t="shared" si="269"/>
        <v>-3</v>
      </c>
      <c r="K471" s="1232">
        <f t="shared" si="269"/>
        <v>-3</v>
      </c>
      <c r="L471" s="1232">
        <f t="shared" si="269"/>
        <v>-3</v>
      </c>
      <c r="M471" s="1232">
        <f t="shared" si="269"/>
        <v>-3</v>
      </c>
      <c r="N471" s="1234">
        <f t="shared" si="269"/>
        <v>-3</v>
      </c>
    </row>
    <row r="472" spans="1:14" ht="15" thickBot="1">
      <c r="F472" s="1310"/>
      <c r="G472" s="1311"/>
    </row>
    <row r="473" spans="1:14" ht="14">
      <c r="A473" s="1312"/>
      <c r="B473" s="1313"/>
      <c r="C473" s="1314" t="s">
        <v>2677</v>
      </c>
      <c r="D473" s="1315"/>
      <c r="E473" s="1313"/>
      <c r="F473" s="1316" t="s">
        <v>2678</v>
      </c>
      <c r="G473" s="1243">
        <f t="shared" ref="G473:N473" si="270">+G300</f>
        <v>16.600000000000001</v>
      </c>
      <c r="H473" s="1243">
        <f t="shared" si="270"/>
        <v>11</v>
      </c>
      <c r="I473" s="1243">
        <f t="shared" si="270"/>
        <v>16.600000000000001</v>
      </c>
      <c r="J473" s="1243">
        <f t="shared" si="270"/>
        <v>0</v>
      </c>
      <c r="K473" s="1243">
        <f t="shared" si="270"/>
        <v>0</v>
      </c>
      <c r="L473" s="1243">
        <f t="shared" si="270"/>
        <v>0</v>
      </c>
      <c r="M473" s="1243">
        <f t="shared" si="270"/>
        <v>0</v>
      </c>
      <c r="N473" s="1244">
        <f t="shared" si="270"/>
        <v>0</v>
      </c>
    </row>
    <row r="474" spans="1:14" s="889" customFormat="1" ht="14">
      <c r="A474" s="2802"/>
      <c r="B474" s="2805" t="s">
        <v>2679</v>
      </c>
      <c r="C474" s="1245" t="s">
        <v>2680</v>
      </c>
      <c r="D474" s="1054"/>
      <c r="E474" s="1246"/>
      <c r="F474" s="1247" t="s">
        <v>2681</v>
      </c>
      <c r="G474" s="1248">
        <f>IF($F357&lt;=10000000,ROUND(7.56*(10000^-0.1105)*(G473^0.2389),2),ROUND(7.56*(($F357/1000)^-0.1105)*(G473^0.2389),2))</f>
        <v>3.83</v>
      </c>
      <c r="H474" s="1248">
        <f t="shared" ref="H474:N474" si="271">IF($F357&lt;=10000000,ROUND(7.56*(10000^-0.1105)*(H473^0.2389),2),ROUND(7.56*(($F357/1000)^-0.1105)*(H473^0.2389),2))</f>
        <v>3.47</v>
      </c>
      <c r="I474" s="1248">
        <f t="shared" si="271"/>
        <v>3.83</v>
      </c>
      <c r="J474" s="1248">
        <f t="shared" si="271"/>
        <v>0</v>
      </c>
      <c r="K474" s="1248">
        <f t="shared" si="271"/>
        <v>0</v>
      </c>
      <c r="L474" s="1248">
        <f t="shared" si="271"/>
        <v>0</v>
      </c>
      <c r="M474" s="1248">
        <f t="shared" si="271"/>
        <v>0</v>
      </c>
      <c r="N474" s="1317">
        <f t="shared" si="271"/>
        <v>0</v>
      </c>
    </row>
    <row r="475" spans="1:14" s="889" customFormat="1" ht="14">
      <c r="A475" s="2803"/>
      <c r="B475" s="2806"/>
      <c r="C475" s="2808" t="s">
        <v>2682</v>
      </c>
      <c r="D475" s="1124"/>
      <c r="E475" s="1249"/>
      <c r="F475" s="1247" t="s">
        <v>2683</v>
      </c>
      <c r="G475" s="1250">
        <f>IF($F357&lt;=10000000,ROUND(4.33,2),0)</f>
        <v>0</v>
      </c>
      <c r="H475" s="1250">
        <f t="shared" ref="H475:N475" si="272">IF($F357&lt;=10000000,ROUND(4.33,2),0)</f>
        <v>0</v>
      </c>
      <c r="I475" s="1250">
        <f t="shared" si="272"/>
        <v>0</v>
      </c>
      <c r="J475" s="1250">
        <f t="shared" si="272"/>
        <v>0</v>
      </c>
      <c r="K475" s="1250">
        <f t="shared" si="272"/>
        <v>0</v>
      </c>
      <c r="L475" s="1250">
        <f t="shared" si="272"/>
        <v>0</v>
      </c>
      <c r="M475" s="1250">
        <f t="shared" si="272"/>
        <v>0</v>
      </c>
      <c r="N475" s="1318">
        <f t="shared" si="272"/>
        <v>0</v>
      </c>
    </row>
    <row r="476" spans="1:14" s="889" customFormat="1" ht="13.5" customHeight="1">
      <c r="A476" s="2803"/>
      <c r="B476" s="2806"/>
      <c r="C476" s="2809"/>
      <c r="D476" s="1251"/>
      <c r="E476" s="1252"/>
      <c r="F476" s="1247" t="s">
        <v>2684</v>
      </c>
      <c r="G476" s="1250">
        <f>IF($F357&lt;=10000000,ROUND(3.25,2),0)</f>
        <v>0</v>
      </c>
      <c r="H476" s="1250">
        <f t="shared" ref="H476:N476" si="273">IF($F357&lt;=10000000,ROUND(3.25,2),0)</f>
        <v>0</v>
      </c>
      <c r="I476" s="1250">
        <f t="shared" si="273"/>
        <v>0</v>
      </c>
      <c r="J476" s="1250">
        <f t="shared" si="273"/>
        <v>0</v>
      </c>
      <c r="K476" s="1250">
        <f t="shared" si="273"/>
        <v>0</v>
      </c>
      <c r="L476" s="1250">
        <f t="shared" si="273"/>
        <v>0</v>
      </c>
      <c r="M476" s="1250">
        <f t="shared" si="273"/>
        <v>0</v>
      </c>
      <c r="N476" s="1318">
        <f t="shared" si="273"/>
        <v>0</v>
      </c>
    </row>
    <row r="477" spans="1:14" s="889" customFormat="1" ht="14">
      <c r="A477" s="2803"/>
      <c r="B477" s="2806"/>
      <c r="C477" s="2808" t="s">
        <v>2685</v>
      </c>
      <c r="D477" s="1124"/>
      <c r="E477" s="1249"/>
      <c r="F477" s="1247" t="s">
        <v>2683</v>
      </c>
      <c r="G477" s="1253">
        <f>IF($F357&gt;10000000,ROUND(5.78*($F357/1000)^-0.0313,2),0)</f>
        <v>3.94</v>
      </c>
      <c r="H477" s="1253">
        <f t="shared" ref="H477:N477" si="274">IF($F357&gt;10000000,ROUND(5.78*($F357/1000)^-0.0313,2),0)</f>
        <v>3.94</v>
      </c>
      <c r="I477" s="1253">
        <f t="shared" si="274"/>
        <v>3.94</v>
      </c>
      <c r="J477" s="1253">
        <f t="shared" si="274"/>
        <v>3.94</v>
      </c>
      <c r="K477" s="1253">
        <f t="shared" si="274"/>
        <v>3.94</v>
      </c>
      <c r="L477" s="1253">
        <f t="shared" si="274"/>
        <v>3.94</v>
      </c>
      <c r="M477" s="1253">
        <f t="shared" si="274"/>
        <v>3.94</v>
      </c>
      <c r="N477" s="1319">
        <f t="shared" si="274"/>
        <v>3.94</v>
      </c>
    </row>
    <row r="478" spans="1:14" s="889" customFormat="1" ht="13.5" customHeight="1">
      <c r="A478" s="2804"/>
      <c r="B478" s="2807"/>
      <c r="C478" s="2809"/>
      <c r="D478" s="1251"/>
      <c r="E478" s="1252"/>
      <c r="F478" s="1247" t="s">
        <v>2684</v>
      </c>
      <c r="G478" s="1253">
        <f>IF($F357&gt;10000000,ROUND(4.34*($F357/1000)^-0.0313,2),0)</f>
        <v>2.96</v>
      </c>
      <c r="H478" s="1253">
        <f t="shared" ref="H478:N478" si="275">IF($F357&gt;10000000,ROUND(4.34*($F357/1000)^-0.0313,2),0)</f>
        <v>2.96</v>
      </c>
      <c r="I478" s="1253">
        <f t="shared" si="275"/>
        <v>2.96</v>
      </c>
      <c r="J478" s="1253">
        <f t="shared" si="275"/>
        <v>2.96</v>
      </c>
      <c r="K478" s="1253">
        <f t="shared" si="275"/>
        <v>2.96</v>
      </c>
      <c r="L478" s="1253">
        <f t="shared" si="275"/>
        <v>2.96</v>
      </c>
      <c r="M478" s="1253">
        <f t="shared" si="275"/>
        <v>2.96</v>
      </c>
      <c r="N478" s="1319">
        <f t="shared" si="275"/>
        <v>2.96</v>
      </c>
    </row>
    <row r="479" spans="1:14" s="889" customFormat="1" ht="13.5" customHeight="1">
      <c r="A479" s="2796" t="s">
        <v>2686</v>
      </c>
      <c r="B479" s="2797"/>
      <c r="C479" s="2797"/>
      <c r="D479" s="2797"/>
      <c r="E479" s="2797"/>
      <c r="F479" s="2798"/>
      <c r="G479" s="1253">
        <f>IF($F357&lt;=10000000,IF(G$474&gt;G$475,G$475,IF(G$474&lt;G$476,G$476,G$474)),IF(G$474&gt;G$477,G$477,IF(G$474&lt;G$478,G$478,G$474)))</f>
        <v>3.83</v>
      </c>
      <c r="H479" s="1253">
        <f t="shared" ref="H479:N479" si="276">IF($F357&lt;=10000000,IF(H$474&gt;H$475,H$475,IF(H$474&lt;H$476,H$476,H$474)),IF(H$474&gt;H$477,H$477,IF(H$474&lt;H$478,H$478,H$474)))</f>
        <v>3.47</v>
      </c>
      <c r="I479" s="1253">
        <f t="shared" si="276"/>
        <v>3.83</v>
      </c>
      <c r="J479" s="1253">
        <f t="shared" si="276"/>
        <v>2.96</v>
      </c>
      <c r="K479" s="1253">
        <f t="shared" si="276"/>
        <v>2.96</v>
      </c>
      <c r="L479" s="1253">
        <f t="shared" si="276"/>
        <v>2.96</v>
      </c>
      <c r="M479" s="1253">
        <f t="shared" si="276"/>
        <v>2.96</v>
      </c>
      <c r="N479" s="1319">
        <f t="shared" si="276"/>
        <v>2.96</v>
      </c>
    </row>
    <row r="480" spans="1:14" s="889" customFormat="1" ht="15" thickBot="1">
      <c r="A480" s="2799" t="s">
        <v>2687</v>
      </c>
      <c r="B480" s="2800"/>
      <c r="C480" s="2800"/>
      <c r="D480" s="2800"/>
      <c r="E480" s="2800"/>
      <c r="F480" s="2801"/>
      <c r="G480" s="1259">
        <f>ROUND(G479*IF(AND(G305="駅施設",G306="無し"),0.7,IF(AND(G305="駅施設",G306="有り"),0.7,IF(AND(G305="地上建物",G306="無し"),0.9,IF(AND(G305="地上建物",G306="有り"),1,0)))),2)</f>
        <v>2.68</v>
      </c>
      <c r="H480" s="1259">
        <f t="shared" ref="H480:N480" si="277">ROUND(H479*IF(AND(H305="駅施設",H306="無し"),0.7,IF(AND(H305="駅施設",H306="有り"),0.7,IF(AND(H305="地上建物",H306="無し"),0.9,IF(AND(H305="地上建物",H306="有り"),1,0)))),2)</f>
        <v>2.4300000000000002</v>
      </c>
      <c r="I480" s="1259">
        <f t="shared" si="277"/>
        <v>2.68</v>
      </c>
      <c r="J480" s="1259">
        <f t="shared" si="277"/>
        <v>2.0699999999999998</v>
      </c>
      <c r="K480" s="1259">
        <f t="shared" si="277"/>
        <v>2.0699999999999998</v>
      </c>
      <c r="L480" s="1259">
        <f t="shared" si="277"/>
        <v>2.0699999999999998</v>
      </c>
      <c r="M480" s="1259">
        <f t="shared" si="277"/>
        <v>2.0699999999999998</v>
      </c>
      <c r="N480" s="1259">
        <f t="shared" si="277"/>
        <v>2.0699999999999998</v>
      </c>
    </row>
    <row r="481" spans="1:14" s="889" customFormat="1" ht="15" thickBot="1">
      <c r="G481" s="1255"/>
      <c r="H481" s="1255"/>
      <c r="I481" s="1255"/>
      <c r="J481" s="1255"/>
      <c r="K481" s="1255"/>
      <c r="L481" s="1255"/>
      <c r="M481" s="1255"/>
      <c r="N481" s="1255"/>
    </row>
    <row r="482" spans="1:14" s="889" customFormat="1" ht="14">
      <c r="A482" s="1238"/>
      <c r="B482" s="1239"/>
      <c r="C482" s="1240" t="s">
        <v>2677</v>
      </c>
      <c r="D482" s="1241"/>
      <c r="E482" s="1239"/>
      <c r="F482" s="1242" t="s">
        <v>2678</v>
      </c>
      <c r="G482" s="1243">
        <f t="shared" ref="G482:N482" si="278">+G300</f>
        <v>16.600000000000001</v>
      </c>
      <c r="H482" s="1243">
        <f t="shared" si="278"/>
        <v>11</v>
      </c>
      <c r="I482" s="1243">
        <f t="shared" si="278"/>
        <v>16.600000000000001</v>
      </c>
      <c r="J482" s="1243">
        <f t="shared" si="278"/>
        <v>0</v>
      </c>
      <c r="K482" s="1243">
        <f t="shared" si="278"/>
        <v>0</v>
      </c>
      <c r="L482" s="1243">
        <f t="shared" si="278"/>
        <v>0</v>
      </c>
      <c r="M482" s="1243">
        <f t="shared" si="278"/>
        <v>0</v>
      </c>
      <c r="N482" s="1244">
        <f t="shared" si="278"/>
        <v>0</v>
      </c>
    </row>
    <row r="483" spans="1:14" s="889" customFormat="1" ht="14">
      <c r="A483" s="2802"/>
      <c r="B483" s="2805" t="s">
        <v>2688</v>
      </c>
      <c r="C483" s="1245" t="s">
        <v>2680</v>
      </c>
      <c r="D483" s="1054"/>
      <c r="E483" s="1246"/>
      <c r="F483" s="1247" t="s">
        <v>2689</v>
      </c>
      <c r="G483" s="1248">
        <f>IF($F357&lt;=5000000,ROUND(18.03*(5000^-0.2027)*(G482^0.4017),2),ROUND(18.03*(($F357/1000)^-0.2027)*(G482^0.4017),2))</f>
        <v>4.67</v>
      </c>
      <c r="H483" s="1248">
        <f t="shared" ref="H483:N483" si="279">IF($F357&lt;=5000000,ROUND(18.03*(5000^-0.2027)*(H482^0.4017),2),ROUND(18.03*(($F357/1000)^-0.2027)*(H482^0.4017),2))</f>
        <v>3.96</v>
      </c>
      <c r="I483" s="1248">
        <f t="shared" si="279"/>
        <v>4.67</v>
      </c>
      <c r="J483" s="1248">
        <f t="shared" si="279"/>
        <v>0</v>
      </c>
      <c r="K483" s="1248">
        <f t="shared" si="279"/>
        <v>0</v>
      </c>
      <c r="L483" s="1248">
        <f t="shared" si="279"/>
        <v>0</v>
      </c>
      <c r="M483" s="1248">
        <f t="shared" si="279"/>
        <v>0</v>
      </c>
      <c r="N483" s="1317">
        <f t="shared" si="279"/>
        <v>0</v>
      </c>
    </row>
    <row r="484" spans="1:14" s="889" customFormat="1" ht="14">
      <c r="A484" s="2803"/>
      <c r="B484" s="2806"/>
      <c r="C484" s="2808" t="s">
        <v>2690</v>
      </c>
      <c r="D484" s="1124"/>
      <c r="E484" s="1249"/>
      <c r="F484" s="1247" t="s">
        <v>2683</v>
      </c>
      <c r="G484" s="1250">
        <f>IF($F357&lt;=5000000,ROUND(6.07,2),0)</f>
        <v>0</v>
      </c>
      <c r="H484" s="1250">
        <f t="shared" ref="H484:N484" si="280">IF($F357&lt;=5000000,ROUND(6.07,2),0)</f>
        <v>0</v>
      </c>
      <c r="I484" s="1250">
        <f t="shared" si="280"/>
        <v>0</v>
      </c>
      <c r="J484" s="1250">
        <f t="shared" si="280"/>
        <v>0</v>
      </c>
      <c r="K484" s="1250">
        <f t="shared" si="280"/>
        <v>0</v>
      </c>
      <c r="L484" s="1250">
        <f t="shared" si="280"/>
        <v>0</v>
      </c>
      <c r="M484" s="1250">
        <f t="shared" si="280"/>
        <v>0</v>
      </c>
      <c r="N484" s="1318">
        <f t="shared" si="280"/>
        <v>0</v>
      </c>
    </row>
    <row r="485" spans="1:14" s="889" customFormat="1" ht="13.5" customHeight="1">
      <c r="A485" s="2803"/>
      <c r="B485" s="2806"/>
      <c r="C485" s="2809"/>
      <c r="D485" s="1251"/>
      <c r="E485" s="1252"/>
      <c r="F485" s="1247" t="s">
        <v>2684</v>
      </c>
      <c r="G485" s="1250">
        <f>IF($F357&lt;=5000000,ROUND(3.59,2),0)</f>
        <v>0</v>
      </c>
      <c r="H485" s="1250">
        <f t="shared" ref="H485:N485" si="281">IF($F357&lt;=5000000,ROUND(3.59,2),0)</f>
        <v>0</v>
      </c>
      <c r="I485" s="1250">
        <f t="shared" si="281"/>
        <v>0</v>
      </c>
      <c r="J485" s="1250">
        <f t="shared" si="281"/>
        <v>0</v>
      </c>
      <c r="K485" s="1250">
        <f t="shared" si="281"/>
        <v>0</v>
      </c>
      <c r="L485" s="1250">
        <f t="shared" si="281"/>
        <v>0</v>
      </c>
      <c r="M485" s="1250">
        <f t="shared" si="281"/>
        <v>0</v>
      </c>
      <c r="N485" s="1318">
        <f t="shared" si="281"/>
        <v>0</v>
      </c>
    </row>
    <row r="486" spans="1:14" s="889" customFormat="1" ht="14">
      <c r="A486" s="2803"/>
      <c r="B486" s="2806"/>
      <c r="C486" s="2808" t="s">
        <v>2691</v>
      </c>
      <c r="D486" s="1124"/>
      <c r="E486" s="1249"/>
      <c r="F486" s="1247" t="s">
        <v>2683</v>
      </c>
      <c r="G486" s="1253">
        <f>IF($F357&gt;5000000,ROUND(11.74*($F357/1000)^-0.0774,2),0)</f>
        <v>4.55</v>
      </c>
      <c r="H486" s="1253">
        <f t="shared" ref="H486:N486" si="282">IF($F357&gt;5000000,ROUND(11.74*($F357/1000)^-0.0774,2),0)</f>
        <v>4.55</v>
      </c>
      <c r="I486" s="1253">
        <f t="shared" si="282"/>
        <v>4.55</v>
      </c>
      <c r="J486" s="1253">
        <f t="shared" si="282"/>
        <v>4.55</v>
      </c>
      <c r="K486" s="1253">
        <f t="shared" si="282"/>
        <v>4.55</v>
      </c>
      <c r="L486" s="1253">
        <f t="shared" si="282"/>
        <v>4.55</v>
      </c>
      <c r="M486" s="1253">
        <f t="shared" si="282"/>
        <v>4.55</v>
      </c>
      <c r="N486" s="1319">
        <f t="shared" si="282"/>
        <v>4.55</v>
      </c>
    </row>
    <row r="487" spans="1:14" s="889" customFormat="1" ht="13.5" customHeight="1">
      <c r="A487" s="2804"/>
      <c r="B487" s="2807"/>
      <c r="C487" s="2809"/>
      <c r="D487" s="1251"/>
      <c r="E487" s="1252"/>
      <c r="F487" s="1247" t="s">
        <v>2684</v>
      </c>
      <c r="G487" s="1253">
        <f>IF($F357&gt;5000000,ROUND(6.94*($F357/1000)^-0.0774,2),0)</f>
        <v>2.69</v>
      </c>
      <c r="H487" s="1253">
        <f t="shared" ref="H487:N487" si="283">IF($F357&gt;5000000,ROUND(6.94*($F357/1000)^-0.0774,2),0)</f>
        <v>2.69</v>
      </c>
      <c r="I487" s="1253">
        <f t="shared" si="283"/>
        <v>2.69</v>
      </c>
      <c r="J487" s="1253">
        <f t="shared" si="283"/>
        <v>2.69</v>
      </c>
      <c r="K487" s="1253">
        <f t="shared" si="283"/>
        <v>2.69</v>
      </c>
      <c r="L487" s="1253">
        <f t="shared" si="283"/>
        <v>2.69</v>
      </c>
      <c r="M487" s="1253">
        <f t="shared" si="283"/>
        <v>2.69</v>
      </c>
      <c r="N487" s="1319">
        <f t="shared" si="283"/>
        <v>2.69</v>
      </c>
    </row>
    <row r="488" spans="1:14" s="889" customFormat="1" ht="13.5" customHeight="1">
      <c r="A488" s="2796" t="s">
        <v>2686</v>
      </c>
      <c r="B488" s="2797"/>
      <c r="C488" s="2797"/>
      <c r="D488" s="2797"/>
      <c r="E488" s="2797"/>
      <c r="F488" s="2798"/>
      <c r="G488" s="1256">
        <f>IF($F357&lt;=5000000,IF(G$483&gt;G$484,G$484,IF(G$483&lt;G$485,G$485,G$483)),IF(G$483&gt;G$486,G$486,IF(G$483&lt;G$487,G$487,G$483)))</f>
        <v>4.55</v>
      </c>
      <c r="H488" s="1256">
        <f t="shared" ref="H488:N488" si="284">IF($F357&lt;=5000000,IF(H$483&gt;H$484,H$484,IF(H$483&lt;H$485,H$485,H$483)),IF(H$483&gt;H$486,H$486,IF(H$483&lt;H$487,H$487,H$483)))</f>
        <v>3.96</v>
      </c>
      <c r="I488" s="1256">
        <f t="shared" si="284"/>
        <v>4.55</v>
      </c>
      <c r="J488" s="1256">
        <f t="shared" si="284"/>
        <v>2.69</v>
      </c>
      <c r="K488" s="1256">
        <f t="shared" si="284"/>
        <v>2.69</v>
      </c>
      <c r="L488" s="1256">
        <f t="shared" si="284"/>
        <v>2.69</v>
      </c>
      <c r="M488" s="1256">
        <f t="shared" si="284"/>
        <v>2.69</v>
      </c>
      <c r="N488" s="1320">
        <f t="shared" si="284"/>
        <v>2.69</v>
      </c>
    </row>
    <row r="489" spans="1:14" s="889" customFormat="1" ht="15" thickBot="1">
      <c r="A489" s="2799" t="s">
        <v>2687</v>
      </c>
      <c r="B489" s="2800"/>
      <c r="C489" s="2800"/>
      <c r="D489" s="2800"/>
      <c r="E489" s="2800"/>
      <c r="F489" s="2801"/>
      <c r="G489" s="1259">
        <f>ROUND(G488*IF(AND(G305="駅施設",G306="無し"),0.7,IF(AND(G305="駅施設",G306="有り"),0.7,IF(AND(G305="地上建物",G306="無し"),0.9,IF(AND(G305="地上建物",G306="有り"),1,0)))),2)</f>
        <v>3.19</v>
      </c>
      <c r="H489" s="1259">
        <f t="shared" ref="H489:N489" si="285">ROUND(H488*IF(AND(H305="駅施設",H306="無し"),0.7,IF(AND(H305="駅施設",H306="有り"),0.7,IF(AND(H305="地上建物",H306="無し"),0.9,IF(AND(H305="地上建物",H306="有り"),1,0)))),2)</f>
        <v>2.77</v>
      </c>
      <c r="I489" s="1259">
        <f t="shared" si="285"/>
        <v>3.19</v>
      </c>
      <c r="J489" s="1259">
        <f t="shared" si="285"/>
        <v>1.88</v>
      </c>
      <c r="K489" s="1259">
        <f t="shared" si="285"/>
        <v>1.88</v>
      </c>
      <c r="L489" s="1259">
        <f t="shared" si="285"/>
        <v>1.88</v>
      </c>
      <c r="M489" s="1259">
        <f t="shared" si="285"/>
        <v>1.88</v>
      </c>
      <c r="N489" s="1259">
        <f t="shared" si="285"/>
        <v>1.88</v>
      </c>
    </row>
    <row r="490" spans="1:14" s="889" customFormat="1" ht="15" thickBot="1">
      <c r="G490" s="1237"/>
      <c r="H490" s="1237"/>
      <c r="I490" s="1237"/>
      <c r="J490" s="1237"/>
      <c r="K490" s="1237"/>
      <c r="L490" s="1237"/>
      <c r="M490" s="1237"/>
      <c r="N490" s="1237"/>
    </row>
    <row r="491" spans="1:14" s="889" customFormat="1" ht="14">
      <c r="A491" s="1238"/>
      <c r="B491" s="1239"/>
      <c r="C491" s="1240" t="s">
        <v>2692</v>
      </c>
      <c r="D491" s="1241"/>
      <c r="E491" s="1239"/>
      <c r="F491" s="1242" t="s">
        <v>2678</v>
      </c>
      <c r="G491" s="1243">
        <f t="shared" ref="G491:N491" si="286">+G499</f>
        <v>16.600000000000001</v>
      </c>
      <c r="H491" s="1243">
        <f t="shared" si="286"/>
        <v>11</v>
      </c>
      <c r="I491" s="1243">
        <f t="shared" si="286"/>
        <v>16.600000000000001</v>
      </c>
      <c r="J491" s="1243">
        <f t="shared" si="286"/>
        <v>0</v>
      </c>
      <c r="K491" s="1243">
        <f t="shared" si="286"/>
        <v>0</v>
      </c>
      <c r="L491" s="1243">
        <f t="shared" si="286"/>
        <v>0</v>
      </c>
      <c r="M491" s="1243">
        <f t="shared" si="286"/>
        <v>0</v>
      </c>
      <c r="N491" s="1244">
        <f t="shared" si="286"/>
        <v>0</v>
      </c>
    </row>
    <row r="492" spans="1:14" s="889" customFormat="1" ht="14">
      <c r="A492" s="2802"/>
      <c r="B492" s="2805" t="s">
        <v>2679</v>
      </c>
      <c r="C492" s="1245" t="s">
        <v>2693</v>
      </c>
      <c r="D492" s="1054"/>
      <c r="E492" s="1246"/>
      <c r="F492" s="1247" t="s">
        <v>2694</v>
      </c>
      <c r="G492" s="1248">
        <f>IF($F396&lt;=10000000,ROUND(151.08*((10000)^-0.3396)*(G491^0.586),2),ROUND(151.08*(($F396/1000)^-0.3396)*(G491^0.586),2))</f>
        <v>11.98</v>
      </c>
      <c r="H492" s="1248">
        <f t="shared" ref="H492:N492" si="287">IF($F396&lt;=10000000,ROUND(151.08*((10000)^-0.3396)*(H491^0.586),2),ROUND(151.08*(($F396/1000)^-0.3396)*(H491^0.586),2))</f>
        <v>9.41</v>
      </c>
      <c r="I492" s="1248">
        <f t="shared" si="287"/>
        <v>11.98</v>
      </c>
      <c r="J492" s="1248">
        <f t="shared" si="287"/>
        <v>0</v>
      </c>
      <c r="K492" s="1248">
        <f t="shared" si="287"/>
        <v>0</v>
      </c>
      <c r="L492" s="1248">
        <f t="shared" si="287"/>
        <v>0</v>
      </c>
      <c r="M492" s="1248">
        <f t="shared" si="287"/>
        <v>0</v>
      </c>
      <c r="N492" s="1317">
        <f t="shared" si="287"/>
        <v>0</v>
      </c>
    </row>
    <row r="493" spans="1:14" s="889" customFormat="1" ht="14">
      <c r="A493" s="2803"/>
      <c r="B493" s="2806"/>
      <c r="C493" s="2808" t="s">
        <v>2695</v>
      </c>
      <c r="D493" s="1124"/>
      <c r="E493" s="1249"/>
      <c r="F493" s="1247" t="s">
        <v>2683</v>
      </c>
      <c r="G493" s="1250">
        <f>IF($F396&lt;=10000000,ROUND(20.13,2),0)</f>
        <v>0</v>
      </c>
      <c r="H493" s="1250">
        <f t="shared" ref="H493:N493" si="288">IF($F396&lt;=10000000,ROUND(20.13,2),0)</f>
        <v>0</v>
      </c>
      <c r="I493" s="1250">
        <f t="shared" si="288"/>
        <v>0</v>
      </c>
      <c r="J493" s="1250">
        <f t="shared" si="288"/>
        <v>0</v>
      </c>
      <c r="K493" s="1250">
        <f t="shared" si="288"/>
        <v>0</v>
      </c>
      <c r="L493" s="1250">
        <f t="shared" si="288"/>
        <v>0</v>
      </c>
      <c r="M493" s="1250">
        <f t="shared" si="288"/>
        <v>0</v>
      </c>
      <c r="N493" s="1318">
        <f t="shared" si="288"/>
        <v>0</v>
      </c>
    </row>
    <row r="494" spans="1:14" s="889" customFormat="1" ht="13.5" customHeight="1">
      <c r="A494" s="2803"/>
      <c r="B494" s="2806"/>
      <c r="C494" s="2809"/>
      <c r="D494" s="1251"/>
      <c r="E494" s="1252"/>
      <c r="F494" s="1247" t="s">
        <v>2684</v>
      </c>
      <c r="G494" s="1250">
        <f>IF($F396&lt;=10000000,ROUND(10.01,2),0)</f>
        <v>0</v>
      </c>
      <c r="H494" s="1250">
        <f t="shared" ref="H494:N494" si="289">IF($F396&lt;=10000000,ROUND(10.01,2),0)</f>
        <v>0</v>
      </c>
      <c r="I494" s="1250">
        <f t="shared" si="289"/>
        <v>0</v>
      </c>
      <c r="J494" s="1250">
        <f t="shared" si="289"/>
        <v>0</v>
      </c>
      <c r="K494" s="1250">
        <f t="shared" si="289"/>
        <v>0</v>
      </c>
      <c r="L494" s="1250">
        <f t="shared" si="289"/>
        <v>0</v>
      </c>
      <c r="M494" s="1250">
        <f t="shared" si="289"/>
        <v>0</v>
      </c>
      <c r="N494" s="1318">
        <f t="shared" si="289"/>
        <v>0</v>
      </c>
    </row>
    <row r="495" spans="1:14" s="889" customFormat="1" ht="14">
      <c r="A495" s="2803"/>
      <c r="B495" s="2806"/>
      <c r="C495" s="2808" t="s">
        <v>2696</v>
      </c>
      <c r="D495" s="1124"/>
      <c r="E495" s="1249"/>
      <c r="F495" s="1247" t="s">
        <v>2683</v>
      </c>
      <c r="G495" s="1253">
        <f>IF($F396&gt;10000000,ROUND(75.97*($F396/1000)^-0.1442,2),0)</f>
        <v>12.87</v>
      </c>
      <c r="H495" s="1253">
        <f t="shared" ref="H495:N495" si="290">IF($F396&gt;10000000,ROUND(75.97*($F396/1000)^-0.1442,2),0)</f>
        <v>12.87</v>
      </c>
      <c r="I495" s="1253">
        <f t="shared" si="290"/>
        <v>12.87</v>
      </c>
      <c r="J495" s="1253">
        <f t="shared" si="290"/>
        <v>12.87</v>
      </c>
      <c r="K495" s="1253">
        <f t="shared" si="290"/>
        <v>12.87</v>
      </c>
      <c r="L495" s="1253">
        <f t="shared" si="290"/>
        <v>12.87</v>
      </c>
      <c r="M495" s="1253">
        <f t="shared" si="290"/>
        <v>12.87</v>
      </c>
      <c r="N495" s="1319">
        <f t="shared" si="290"/>
        <v>12.87</v>
      </c>
    </row>
    <row r="496" spans="1:14" s="889" customFormat="1" ht="13.5" customHeight="1">
      <c r="A496" s="2804"/>
      <c r="B496" s="2807"/>
      <c r="C496" s="2809"/>
      <c r="D496" s="1251"/>
      <c r="E496" s="1252"/>
      <c r="F496" s="1247" t="s">
        <v>2684</v>
      </c>
      <c r="G496" s="1253">
        <f>IF($F396&gt;10000000,ROUND(37.76*($F396/1000)^-0.1442,2),0)</f>
        <v>6.4</v>
      </c>
      <c r="H496" s="1253">
        <f t="shared" ref="H496:N496" si="291">IF($F396&gt;10000000,ROUND(37.76*($F396/1000)^-0.1442,2),0)</f>
        <v>6.4</v>
      </c>
      <c r="I496" s="1253">
        <f t="shared" si="291"/>
        <v>6.4</v>
      </c>
      <c r="J496" s="1253">
        <f t="shared" si="291"/>
        <v>6.4</v>
      </c>
      <c r="K496" s="1253">
        <f t="shared" si="291"/>
        <v>6.4</v>
      </c>
      <c r="L496" s="1253">
        <f t="shared" si="291"/>
        <v>6.4</v>
      </c>
      <c r="M496" s="1253">
        <f t="shared" si="291"/>
        <v>6.4</v>
      </c>
      <c r="N496" s="1319">
        <f t="shared" si="291"/>
        <v>6.4</v>
      </c>
    </row>
    <row r="497" spans="1:14" s="889" customFormat="1" ht="15" thickBot="1">
      <c r="A497" s="2811" t="s">
        <v>2697</v>
      </c>
      <c r="B497" s="2812"/>
      <c r="C497" s="2812"/>
      <c r="D497" s="2812"/>
      <c r="E497" s="1257"/>
      <c r="F497" s="1258"/>
      <c r="G497" s="1259">
        <f>IF($F396&lt;=10000000,IF(G$492&gt;G$493,G$493,IF(G$492&lt;G$494,G$494,G$492)),IF(G$492&gt;G$495,G$495,IF(G$492&lt;G$496,G$496,G$492)))</f>
        <v>11.98</v>
      </c>
      <c r="H497" s="1259">
        <f t="shared" ref="H497:N497" si="292">IF($F396&lt;=10000000,IF(H$492&gt;H$493,H$493,IF(H$492&lt;H$494,H$494,H$492)),IF(H$492&gt;H$495,H$495,IF(H$492&lt;H$496,H$496,H$492)))</f>
        <v>9.41</v>
      </c>
      <c r="I497" s="1259">
        <f t="shared" si="292"/>
        <v>11.98</v>
      </c>
      <c r="J497" s="1259">
        <f t="shared" si="292"/>
        <v>6.4</v>
      </c>
      <c r="K497" s="1259">
        <f t="shared" si="292"/>
        <v>6.4</v>
      </c>
      <c r="L497" s="1259">
        <f t="shared" si="292"/>
        <v>6.4</v>
      </c>
      <c r="M497" s="1259">
        <f t="shared" si="292"/>
        <v>6.4</v>
      </c>
      <c r="N497" s="1321">
        <f t="shared" si="292"/>
        <v>6.4</v>
      </c>
    </row>
    <row r="498" spans="1:14" s="889" customFormat="1" ht="15" thickBot="1">
      <c r="G498" s="1255"/>
      <c r="H498" s="1255"/>
      <c r="I498" s="1255"/>
      <c r="J498" s="1255"/>
      <c r="K498" s="1255"/>
      <c r="L498" s="1255"/>
      <c r="M498" s="1255"/>
      <c r="N498" s="1255"/>
    </row>
    <row r="499" spans="1:14" s="889" customFormat="1" ht="14">
      <c r="A499" s="1238"/>
      <c r="B499" s="1239"/>
      <c r="C499" s="1240" t="s">
        <v>2692</v>
      </c>
      <c r="D499" s="1241"/>
      <c r="E499" s="1239"/>
      <c r="F499" s="1242" t="s">
        <v>2678</v>
      </c>
      <c r="G499" s="1243">
        <f t="shared" ref="G499:N499" si="293">+G300</f>
        <v>16.600000000000001</v>
      </c>
      <c r="H499" s="1243">
        <f t="shared" si="293"/>
        <v>11</v>
      </c>
      <c r="I499" s="1243">
        <f t="shared" si="293"/>
        <v>16.600000000000001</v>
      </c>
      <c r="J499" s="1243">
        <f t="shared" si="293"/>
        <v>0</v>
      </c>
      <c r="K499" s="1243">
        <f t="shared" si="293"/>
        <v>0</v>
      </c>
      <c r="L499" s="1243">
        <f t="shared" si="293"/>
        <v>0</v>
      </c>
      <c r="M499" s="1243">
        <f t="shared" si="293"/>
        <v>0</v>
      </c>
      <c r="N499" s="1244">
        <f t="shared" si="293"/>
        <v>0</v>
      </c>
    </row>
    <row r="500" spans="1:14" s="889" customFormat="1" ht="14">
      <c r="A500" s="2802"/>
      <c r="B500" s="2805" t="s">
        <v>2688</v>
      </c>
      <c r="C500" s="1245" t="s">
        <v>2693</v>
      </c>
      <c r="D500" s="1054"/>
      <c r="E500" s="1246"/>
      <c r="F500" s="1247" t="s">
        <v>2694</v>
      </c>
      <c r="G500" s="1248">
        <f>IF($F396&lt;=5000000,ROUND(356.2*((5000)^-0.4085)*(G499^0.5766),2),ROUND(356.2*(($F396/1000)^-0.4085)*(G499^0.5766),2))</f>
        <v>11.78</v>
      </c>
      <c r="H500" s="1248">
        <f t="shared" ref="H500:N500" si="294">IF($F396&lt;=5000000,ROUND(356.2*((5000)^-0.4085)*(H499^0.5766),2),ROUND(356.2*(($F396/1000)^-0.4085)*(H499^0.5766),2))</f>
        <v>9.2899999999999991</v>
      </c>
      <c r="I500" s="1248">
        <f t="shared" si="294"/>
        <v>11.78</v>
      </c>
      <c r="J500" s="1248">
        <f t="shared" si="294"/>
        <v>0</v>
      </c>
      <c r="K500" s="1248">
        <f t="shared" si="294"/>
        <v>0</v>
      </c>
      <c r="L500" s="1248">
        <f t="shared" si="294"/>
        <v>0</v>
      </c>
      <c r="M500" s="1248">
        <f t="shared" si="294"/>
        <v>0</v>
      </c>
      <c r="N500" s="1317">
        <f t="shared" si="294"/>
        <v>0</v>
      </c>
    </row>
    <row r="501" spans="1:14" s="889" customFormat="1" ht="14">
      <c r="A501" s="2803"/>
      <c r="B501" s="2806"/>
      <c r="C501" s="2808" t="s">
        <v>2698</v>
      </c>
      <c r="D501" s="1124"/>
      <c r="E501" s="1249"/>
      <c r="F501" s="1247" t="s">
        <v>2683</v>
      </c>
      <c r="G501" s="1250">
        <f>IF($F396&lt;=5000000,ROUND(26.86,2),0)</f>
        <v>0</v>
      </c>
      <c r="H501" s="1250">
        <f t="shared" ref="H501:N501" si="295">IF($F396&lt;=5000000,ROUND(26.86,2),0)</f>
        <v>0</v>
      </c>
      <c r="I501" s="1250">
        <f t="shared" si="295"/>
        <v>0</v>
      </c>
      <c r="J501" s="1250">
        <f t="shared" si="295"/>
        <v>0</v>
      </c>
      <c r="K501" s="1250">
        <f t="shared" si="295"/>
        <v>0</v>
      </c>
      <c r="L501" s="1250">
        <f t="shared" si="295"/>
        <v>0</v>
      </c>
      <c r="M501" s="1250">
        <f t="shared" si="295"/>
        <v>0</v>
      </c>
      <c r="N501" s="1318">
        <f t="shared" si="295"/>
        <v>0</v>
      </c>
    </row>
    <row r="502" spans="1:14" s="889" customFormat="1" ht="13.5" customHeight="1">
      <c r="A502" s="2803"/>
      <c r="B502" s="2806"/>
      <c r="C502" s="2809"/>
      <c r="D502" s="1251"/>
      <c r="E502" s="1252"/>
      <c r="F502" s="1247" t="s">
        <v>2684</v>
      </c>
      <c r="G502" s="1250">
        <f>IF($F396&lt;=5000000,ROUND(12.7,2),0)</f>
        <v>0</v>
      </c>
      <c r="H502" s="1250">
        <f t="shared" ref="H502:N502" si="296">IF($F396&lt;=5000000,ROUND(12.7,2),0)</f>
        <v>0</v>
      </c>
      <c r="I502" s="1250">
        <f t="shared" si="296"/>
        <v>0</v>
      </c>
      <c r="J502" s="1250">
        <f t="shared" si="296"/>
        <v>0</v>
      </c>
      <c r="K502" s="1250">
        <f t="shared" si="296"/>
        <v>0</v>
      </c>
      <c r="L502" s="1250">
        <f t="shared" si="296"/>
        <v>0</v>
      </c>
      <c r="M502" s="1250">
        <f t="shared" si="296"/>
        <v>0</v>
      </c>
      <c r="N502" s="1318">
        <f t="shared" si="296"/>
        <v>0</v>
      </c>
    </row>
    <row r="503" spans="1:14" s="889" customFormat="1" ht="14">
      <c r="A503" s="2803"/>
      <c r="B503" s="2806"/>
      <c r="C503" s="2808" t="s">
        <v>2699</v>
      </c>
      <c r="D503" s="1124"/>
      <c r="E503" s="1249"/>
      <c r="F503" s="1247" t="s">
        <v>2683</v>
      </c>
      <c r="G503" s="1253">
        <f>IF($F396&gt;5000000,ROUND(184.58*($F396/1000)^-0.2263,2),0)</f>
        <v>11.38</v>
      </c>
      <c r="H503" s="1253">
        <f t="shared" ref="H503:N503" si="297">IF($F396&gt;5000000,ROUND(184.58*($F396/1000)^-0.2263,2),0)</f>
        <v>11.38</v>
      </c>
      <c r="I503" s="1253">
        <f t="shared" si="297"/>
        <v>11.38</v>
      </c>
      <c r="J503" s="1253">
        <f t="shared" si="297"/>
        <v>11.38</v>
      </c>
      <c r="K503" s="1253">
        <f t="shared" si="297"/>
        <v>11.38</v>
      </c>
      <c r="L503" s="1253">
        <f t="shared" si="297"/>
        <v>11.38</v>
      </c>
      <c r="M503" s="1253">
        <f t="shared" si="297"/>
        <v>11.38</v>
      </c>
      <c r="N503" s="1319">
        <f t="shared" si="297"/>
        <v>11.38</v>
      </c>
    </row>
    <row r="504" spans="1:14" s="889" customFormat="1" ht="13.5" customHeight="1">
      <c r="A504" s="2804"/>
      <c r="B504" s="2807"/>
      <c r="C504" s="2809"/>
      <c r="D504" s="1251"/>
      <c r="E504" s="1252"/>
      <c r="F504" s="1247" t="s">
        <v>2684</v>
      </c>
      <c r="G504" s="1253">
        <f>IF($F396&gt;5000000,ROUND(87.29*($F396/1000)^-0.2263,2),0)</f>
        <v>5.38</v>
      </c>
      <c r="H504" s="1253">
        <f t="shared" ref="H504:N504" si="298">IF($F396&gt;5000000,ROUND(87.29*($F396/1000)^-0.2263,2),0)</f>
        <v>5.38</v>
      </c>
      <c r="I504" s="1253">
        <f t="shared" si="298"/>
        <v>5.38</v>
      </c>
      <c r="J504" s="1253">
        <f t="shared" si="298"/>
        <v>5.38</v>
      </c>
      <c r="K504" s="1253">
        <f t="shared" si="298"/>
        <v>5.38</v>
      </c>
      <c r="L504" s="1253">
        <f t="shared" si="298"/>
        <v>5.38</v>
      </c>
      <c r="M504" s="1253">
        <f t="shared" si="298"/>
        <v>5.38</v>
      </c>
      <c r="N504" s="1319">
        <f t="shared" si="298"/>
        <v>5.38</v>
      </c>
    </row>
    <row r="505" spans="1:14" s="889" customFormat="1" ht="15" thickBot="1">
      <c r="A505" s="2811" t="s">
        <v>2697</v>
      </c>
      <c r="B505" s="2812"/>
      <c r="C505" s="2812"/>
      <c r="D505" s="2812"/>
      <c r="E505" s="1260"/>
      <c r="F505" s="1258"/>
      <c r="G505" s="1261">
        <f>IF($F396&lt;=5000000,IF(G$500&gt;G$501,G$501,IF(G$500&lt;G$502,G$502,G$500)),IF(G$500&gt;G$503,G$503,IF(G$500&lt;G$504,G$504,G$500)))</f>
        <v>11.38</v>
      </c>
      <c r="H505" s="1261">
        <f t="shared" ref="H505:N505" si="299">IF($F396&lt;=5000000,IF(H$500&gt;H$501,H$501,IF(H$500&lt;H$502,H$502,H$500)),IF(H$500&gt;H$503,H$503,IF(H$500&lt;H$504,H$504,H$500)))</f>
        <v>9.2899999999999991</v>
      </c>
      <c r="I505" s="1261">
        <f t="shared" si="299"/>
        <v>11.38</v>
      </c>
      <c r="J505" s="1261">
        <f t="shared" si="299"/>
        <v>5.38</v>
      </c>
      <c r="K505" s="1261">
        <f t="shared" si="299"/>
        <v>5.38</v>
      </c>
      <c r="L505" s="1261">
        <f t="shared" si="299"/>
        <v>5.38</v>
      </c>
      <c r="M505" s="1261">
        <f t="shared" si="299"/>
        <v>5.38</v>
      </c>
      <c r="N505" s="1322">
        <f t="shared" si="299"/>
        <v>5.38</v>
      </c>
    </row>
    <row r="506" spans="1:14" s="889" customFormat="1" ht="15" thickBot="1">
      <c r="G506" s="1237"/>
      <c r="H506" s="1237"/>
      <c r="I506" s="1237"/>
      <c r="J506" s="1237"/>
      <c r="K506" s="1237"/>
      <c r="L506" s="1237"/>
      <c r="M506" s="1237"/>
      <c r="N506" s="1237"/>
    </row>
    <row r="507" spans="1:14" s="889" customFormat="1" ht="14">
      <c r="A507" s="1238"/>
      <c r="B507" s="1239"/>
      <c r="C507" s="1240" t="s">
        <v>2700</v>
      </c>
      <c r="D507" s="1241"/>
      <c r="E507" s="1239"/>
      <c r="F507" s="1242"/>
      <c r="G507" s="1262"/>
      <c r="H507" s="1263"/>
      <c r="I507" s="1264"/>
      <c r="J507" s="1264"/>
      <c r="K507" s="1264"/>
      <c r="L507" s="1264"/>
      <c r="M507" s="1264"/>
      <c r="N507" s="1264"/>
    </row>
    <row r="508" spans="1:14" s="889" customFormat="1" ht="14">
      <c r="A508" s="2802"/>
      <c r="B508" s="2805" t="s">
        <v>79</v>
      </c>
      <c r="C508" s="1245" t="s">
        <v>2701</v>
      </c>
      <c r="D508" s="1054"/>
      <c r="E508" s="1246"/>
      <c r="F508" s="1247" t="s">
        <v>2702</v>
      </c>
      <c r="G508" s="1265">
        <f>ROUND(28.978-3.173*LOG($F439/1000),2)</f>
        <v>11.87</v>
      </c>
      <c r="H508" s="1266"/>
      <c r="I508" s="1267"/>
      <c r="J508" s="1267"/>
      <c r="K508" s="1267"/>
      <c r="L508" s="1267"/>
      <c r="M508" s="1267"/>
      <c r="N508" s="1267"/>
    </row>
    <row r="509" spans="1:14" s="889" customFormat="1" ht="13.5" customHeight="1">
      <c r="A509" s="2803"/>
      <c r="B509" s="2806"/>
      <c r="C509" s="1268" t="s">
        <v>2703</v>
      </c>
      <c r="D509" s="1124"/>
      <c r="E509" s="1124"/>
      <c r="F509" s="1269"/>
      <c r="G509" s="1270">
        <f>IF($F439&lt;=5000000,17.24,0)</f>
        <v>0</v>
      </c>
      <c r="H509" s="1271"/>
      <c r="I509" s="1272"/>
      <c r="J509" s="147"/>
      <c r="K509" s="1272"/>
      <c r="L509" s="1272"/>
      <c r="M509" s="1272"/>
      <c r="N509" s="1272"/>
    </row>
    <row r="510" spans="1:14" s="889" customFormat="1" ht="14">
      <c r="A510" s="2804"/>
      <c r="B510" s="2807"/>
      <c r="C510" s="1268" t="s">
        <v>2704</v>
      </c>
      <c r="D510" s="1124"/>
      <c r="E510" s="1054"/>
      <c r="F510" s="1269"/>
      <c r="G510" s="1270">
        <f>IF($F439&gt;3000000000,8.43,0)</f>
        <v>0</v>
      </c>
      <c r="H510" s="1273"/>
      <c r="I510" s="1274"/>
      <c r="J510" s="1274"/>
      <c r="K510" s="1274"/>
      <c r="L510" s="1274"/>
      <c r="M510" s="1274"/>
      <c r="N510" s="1274"/>
    </row>
    <row r="511" spans="1:14" s="889" customFormat="1" ht="15" thickBot="1">
      <c r="A511" s="2811" t="s">
        <v>2705</v>
      </c>
      <c r="B511" s="2812"/>
      <c r="C511" s="2812"/>
      <c r="D511" s="2812"/>
      <c r="E511" s="1260"/>
      <c r="F511" s="1258"/>
      <c r="G511" s="1275">
        <f>IF($F439&lt;=5000000,G509,IF($F439&gt;3000000000,G510,G508))</f>
        <v>11.87</v>
      </c>
      <c r="H511" s="1276"/>
      <c r="I511" s="1277"/>
      <c r="J511" s="1277"/>
      <c r="K511" s="1277"/>
      <c r="L511" s="1277"/>
      <c r="M511" s="1277"/>
      <c r="N511" s="1277"/>
    </row>
  </sheetData>
  <sheetProtection selectLockedCells="1" selectUnlockedCells="1"/>
  <mergeCells count="167"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</mergeCells>
  <phoneticPr fontId="2"/>
  <conditionalFormatting sqref="A304">
    <cfRule type="expression" dxfId="5" priority="2" stopIfTrue="1">
      <formula>AND($F$113&gt;5000000,OR($E$87="無し",$E$87="なし"))</formula>
    </cfRule>
  </conditionalFormatting>
  <conditionalFormatting sqref="A10">
    <cfRule type="expression" dxfId="4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B00-000000000000}">
      <formula1>"有り,無し"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B00-000001000000}">
      <formula1>"積上げ,積上げ・率処理併用"</formula1>
    </dataValidation>
    <dataValidation type="list" allowBlank="1" showInputMessage="1" showErrorMessage="1" sqref="G85:N85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WVO983049:WVV983049" xr:uid="{00000000-0002-0000-0B00-000002000000}">
      <formula1>"改修,新営"</formula1>
    </dataValidation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B00-000003000000}">
      <formula1>"駅施設,地上建物"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C000"/>
  </sheetPr>
  <dimension ref="A2:AI186"/>
  <sheetViews>
    <sheetView zoomScale="75" zoomScaleNormal="75" workbookViewId="0">
      <selection activeCell="C3" sqref="C3:L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3411</v>
      </c>
      <c r="E2" s="36" t="s">
        <v>50</v>
      </c>
      <c r="F2" s="39">
        <f>工事3!J2</f>
        <v>19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26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イ)6号線堺筋本町駅の部-可動式ホーム柵設置に伴う建築工事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2495</v>
      </c>
      <c r="E7" s="99"/>
      <c r="F7" s="274">
        <v>1</v>
      </c>
      <c r="G7" s="115" t="s">
        <v>7</v>
      </c>
      <c r="H7" s="101"/>
      <c r="I7" s="101">
        <f>I70</f>
        <v>1127630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3037</v>
      </c>
      <c r="E8" s="99"/>
      <c r="F8" s="274">
        <v>1</v>
      </c>
      <c r="G8" s="115" t="s">
        <v>7</v>
      </c>
      <c r="H8" s="101"/>
      <c r="I8" s="101">
        <f>I93</f>
        <v>-83520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 t="s">
        <v>3019</v>
      </c>
      <c r="E9" s="99"/>
      <c r="F9" s="274">
        <v>1</v>
      </c>
      <c r="G9" s="115" t="s">
        <v>7</v>
      </c>
      <c r="H9" s="101"/>
      <c r="I9" s="101">
        <f>I116</f>
        <v>-324053</v>
      </c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 t="s">
        <v>3028</v>
      </c>
      <c r="E10" s="99"/>
      <c r="F10" s="274">
        <v>1</v>
      </c>
      <c r="G10" s="115" t="s">
        <v>7</v>
      </c>
      <c r="H10" s="101"/>
      <c r="I10" s="101">
        <f>I139</f>
        <v>838676</v>
      </c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 t="s">
        <v>3031</v>
      </c>
      <c r="E11" s="99"/>
      <c r="F11" s="274">
        <v>1</v>
      </c>
      <c r="G11" s="115" t="s">
        <v>7</v>
      </c>
      <c r="H11" s="101"/>
      <c r="I11" s="101">
        <f>I162</f>
        <v>578709</v>
      </c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2137442</v>
      </c>
      <c r="J16" s="65"/>
      <c r="K16" s="65"/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2465</v>
      </c>
      <c r="E19" s="99"/>
      <c r="F19" s="274">
        <v>1</v>
      </c>
      <c r="G19" s="115" t="s">
        <v>2466</v>
      </c>
      <c r="H19" s="101"/>
      <c r="I19" s="101">
        <f>I47</f>
        <v>452172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+変更諸経費表!L66</f>
        <v>168129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+変更諸経費表!L74</f>
        <v>267288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887589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3025031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+変更諸経費表!L79</f>
        <v>2249000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20</v>
      </c>
      <c r="G25" s="122" t="s">
        <v>87</v>
      </c>
      <c r="H25" s="123">
        <f>H2</f>
        <v>35</v>
      </c>
      <c r="M25" s="40" t="str">
        <f>IF(A27="","EOL","")</f>
        <v/>
      </c>
      <c r="N25" s="1">
        <f>+F25</f>
        <v>20</v>
      </c>
    </row>
    <row r="26" spans="1:35" ht="26.25" customHeight="1" thickBot="1">
      <c r="C26" s="2822" t="s">
        <v>319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30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5" t="s">
        <v>6</v>
      </c>
      <c r="K27" s="2826"/>
      <c r="L27" s="2826"/>
      <c r="M27" s="814"/>
      <c r="N27" s="813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147</v>
      </c>
      <c r="D28" s="96"/>
      <c r="E28" s="97"/>
      <c r="F28" s="273"/>
      <c r="G28" s="132"/>
      <c r="H28" s="91" t="s">
        <v>11</v>
      </c>
      <c r="I28" s="91" t="s">
        <v>11</v>
      </c>
      <c r="J28" s="2819"/>
      <c r="K28" s="2820"/>
      <c r="L28" s="2820"/>
      <c r="M28" s="814"/>
      <c r="N28" s="2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2"/>
      <c r="AC28" s="231"/>
      <c r="AD28" s="229"/>
      <c r="AE28" s="229"/>
      <c r="AF28" s="229"/>
      <c r="AG28" s="229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5"/>
      <c r="M29" s="814"/>
      <c r="N29" s="225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+変更諸経費表!L21</f>
        <v>48370</v>
      </c>
      <c r="I30" s="101">
        <f t="shared" si="0"/>
        <v>48370</v>
      </c>
      <c r="J30" s="65"/>
      <c r="K30" s="65"/>
      <c r="L30" s="65"/>
      <c r="M30" s="814"/>
      <c r="N30" s="225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5"/>
      <c r="M31" s="814"/>
      <c r="N31" s="225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48370</v>
      </c>
      <c r="J32" s="789"/>
      <c r="K32" s="789"/>
      <c r="L32" s="789"/>
      <c r="M32" s="814"/>
      <c r="N32" s="22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96"/>
      <c r="M33" s="814"/>
      <c r="N33" s="225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5"/>
      <c r="M34" s="814"/>
      <c r="N34" s="225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5"/>
      <c r="M35" s="814"/>
      <c r="N35" s="225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5"/>
      <c r="M36" s="814"/>
      <c r="N36" s="225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5"/>
      <c r="M37" s="814"/>
      <c r="N37" s="225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5"/>
      <c r="M38" s="814"/>
      <c r="N38" s="225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5"/>
      <c r="M39" s="814"/>
      <c r="N39" s="225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5"/>
      <c r="M40" s="814"/>
      <c r="N40" s="225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5"/>
      <c r="M41" s="814"/>
      <c r="N41" s="225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+[3]警備員費按分表!$X$6</f>
        <v>403802</v>
      </c>
      <c r="I42" s="101">
        <f t="shared" si="0"/>
        <v>403802</v>
      </c>
      <c r="J42" s="65" t="s">
        <v>3406</v>
      </c>
      <c r="K42" s="65"/>
      <c r="L42" s="65"/>
      <c r="M42" s="814"/>
      <c r="N42" s="225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5"/>
      <c r="M43" s="814"/>
      <c r="N43" s="225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5"/>
      <c r="M44" s="814"/>
      <c r="N44" s="225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403802</v>
      </c>
      <c r="J45" s="789"/>
      <c r="K45" s="789"/>
      <c r="L45" s="789"/>
      <c r="M45" s="814"/>
      <c r="N45" s="22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96"/>
      <c r="M46" s="814"/>
      <c r="N46" s="225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452172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526"/>
      <c r="N47" s="222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21</v>
      </c>
      <c r="G48" s="122" t="s">
        <v>87</v>
      </c>
      <c r="H48" s="123">
        <f>+H25</f>
        <v>35</v>
      </c>
      <c r="I48" s="123"/>
      <c r="M48" s="33" t="str">
        <f>IF(A50="","EOL","")</f>
        <v/>
      </c>
      <c r="N48" s="1">
        <f>+F48</f>
        <v>21</v>
      </c>
      <c r="O48" s="1"/>
      <c r="P48" s="1"/>
    </row>
    <row r="49" spans="1:34" ht="26.25" customHeight="1" thickBot="1">
      <c r="C49" s="2822" t="s">
        <v>320</v>
      </c>
      <c r="D49" s="2822"/>
      <c r="E49" s="2822"/>
      <c r="F49" s="2822"/>
      <c r="G49" s="2822"/>
      <c r="H49" s="2822"/>
      <c r="I49" s="2822"/>
      <c r="J49" s="2822"/>
      <c r="K49" s="2822"/>
      <c r="L49" s="2822"/>
      <c r="O49" s="2823" t="s">
        <v>132</v>
      </c>
      <c r="P49" s="2823"/>
      <c r="Q49" s="2823"/>
      <c r="R49" s="2823"/>
      <c r="S49" s="2823"/>
      <c r="T49" s="2823"/>
      <c r="U49" s="2823"/>
      <c r="V49" s="2823"/>
      <c r="W49" s="2823"/>
      <c r="X49" s="2823"/>
      <c r="Y49" s="2823"/>
      <c r="Z49" s="2823"/>
      <c r="AA49" s="2823"/>
      <c r="AB49" s="2823"/>
      <c r="AC49" s="2823"/>
      <c r="AD49" s="2823"/>
      <c r="AE49" s="2823"/>
      <c r="AF49" s="2823"/>
      <c r="AG49" s="2823"/>
      <c r="AH49" s="2824"/>
    </row>
    <row r="50" spans="1:34" ht="41.25" customHeight="1">
      <c r="A50" s="5" t="s">
        <v>12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5" t="s">
        <v>6</v>
      </c>
      <c r="K50" s="2826"/>
      <c r="L50" s="2827"/>
      <c r="M50" s="521"/>
      <c r="N50" s="522" t="s">
        <v>378</v>
      </c>
      <c r="O50" s="154" t="s">
        <v>67</v>
      </c>
      <c r="P50" s="386" t="s">
        <v>264</v>
      </c>
      <c r="Q50" s="276" t="s">
        <v>304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267</v>
      </c>
      <c r="AC50" s="458" t="s">
        <v>313</v>
      </c>
      <c r="AD50" s="459" t="s">
        <v>314</v>
      </c>
      <c r="AE50" s="460" t="s">
        <v>128</v>
      </c>
      <c r="AF50" s="152" t="s">
        <v>131</v>
      </c>
      <c r="AG50" s="152" t="s">
        <v>129</v>
      </c>
      <c r="AH50" s="152" t="s">
        <v>130</v>
      </c>
    </row>
    <row r="51" spans="1:34" ht="24" customHeight="1">
      <c r="A51" s="38"/>
      <c r="B51" s="38"/>
      <c r="C51" s="128" t="s">
        <v>2495</v>
      </c>
      <c r="D51" s="129"/>
      <c r="E51" s="130"/>
      <c r="F51" s="273"/>
      <c r="G51" s="98"/>
      <c r="H51" s="90" t="s">
        <v>11</v>
      </c>
      <c r="I51" s="90" t="s">
        <v>11</v>
      </c>
      <c r="J51" s="2819"/>
      <c r="K51" s="2820"/>
      <c r="L51" s="2821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3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>
        <v>3</v>
      </c>
      <c r="B53" s="38">
        <v>3</v>
      </c>
      <c r="C53" s="124">
        <v>1304106</v>
      </c>
      <c r="D53" s="785" t="s">
        <v>3164</v>
      </c>
      <c r="E53" s="114" t="s">
        <v>3165</v>
      </c>
      <c r="F53" s="274">
        <v>-1</v>
      </c>
      <c r="G53" s="115" t="s">
        <v>3166</v>
      </c>
      <c r="H53" s="131">
        <v>3590</v>
      </c>
      <c r="I53" s="101">
        <f>IF(F53="","",INT(F53*H53))</f>
        <v>-3590</v>
      </c>
      <c r="J53" s="64" t="s">
        <v>3167</v>
      </c>
      <c r="K53" s="65"/>
      <c r="L53" s="66"/>
      <c r="M53" s="525"/>
      <c r="N53" s="520"/>
      <c r="O53" s="227">
        <v>1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>
        <v>3</v>
      </c>
      <c r="B54" s="38">
        <v>3</v>
      </c>
      <c r="C54" s="124">
        <v>14085</v>
      </c>
      <c r="D54" s="785" t="s">
        <v>3168</v>
      </c>
      <c r="E54" s="114" t="s">
        <v>3169</v>
      </c>
      <c r="F54" s="274">
        <v>-1</v>
      </c>
      <c r="G54" s="115" t="s">
        <v>3170</v>
      </c>
      <c r="H54" s="131">
        <v>4680</v>
      </c>
      <c r="I54" s="101">
        <f>IF(F54="","",INT(F54*H54))</f>
        <v>-4680</v>
      </c>
      <c r="J54" s="64"/>
      <c r="K54" s="65"/>
      <c r="L54" s="66"/>
      <c r="M54" s="525"/>
      <c r="N54" s="520"/>
      <c r="O54" s="227">
        <v>2</v>
      </c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>
        <v>3</v>
      </c>
      <c r="B55" s="38">
        <v>3</v>
      </c>
      <c r="C55" s="124">
        <v>14081</v>
      </c>
      <c r="D55" s="785" t="s">
        <v>3171</v>
      </c>
      <c r="E55" s="114" t="s">
        <v>3172</v>
      </c>
      <c r="F55" s="274">
        <v>-1</v>
      </c>
      <c r="G55" s="115" t="s">
        <v>3173</v>
      </c>
      <c r="H55" s="131">
        <v>9210</v>
      </c>
      <c r="I55" s="101">
        <f>IF(F55="","",INT(F55*H55))</f>
        <v>-9210</v>
      </c>
      <c r="J55" s="64"/>
      <c r="K55" s="65"/>
      <c r="L55" s="66"/>
      <c r="M55" s="525"/>
      <c r="N55" s="520"/>
      <c r="O55" s="227">
        <v>0</v>
      </c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>
        <v>3</v>
      </c>
      <c r="B56" s="38">
        <v>3</v>
      </c>
      <c r="C56" s="124">
        <v>1346005</v>
      </c>
      <c r="D56" s="785" t="s">
        <v>3174</v>
      </c>
      <c r="E56" s="114" t="s">
        <v>3175</v>
      </c>
      <c r="F56" s="274">
        <v>-1</v>
      </c>
      <c r="G56" s="115" t="s">
        <v>3176</v>
      </c>
      <c r="H56" s="131">
        <v>1510</v>
      </c>
      <c r="I56" s="101">
        <f>IF(F56="","",INT(F56*H56))</f>
        <v>-1510</v>
      </c>
      <c r="J56" s="64" t="s">
        <v>3177</v>
      </c>
      <c r="K56" s="65"/>
      <c r="L56" s="66"/>
      <c r="M56" s="525"/>
      <c r="N56" s="520"/>
      <c r="O56" s="227">
        <v>0</v>
      </c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785"/>
      <c r="E57" s="114"/>
      <c r="F57" s="274"/>
      <c r="G57" s="115"/>
      <c r="H57" s="131"/>
      <c r="I57" s="101"/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>
        <v>4</v>
      </c>
      <c r="B58" s="38">
        <v>4</v>
      </c>
      <c r="C58" s="124">
        <v>1304106</v>
      </c>
      <c r="D58" s="785" t="s">
        <v>3285</v>
      </c>
      <c r="E58" s="114" t="s">
        <v>3286</v>
      </c>
      <c r="F58" s="274">
        <v>-2</v>
      </c>
      <c r="G58" s="115" t="s">
        <v>3284</v>
      </c>
      <c r="H58" s="131">
        <v>4730</v>
      </c>
      <c r="I58" s="101">
        <f>IF(F58="","",INT(F58*H58))</f>
        <v>-9460</v>
      </c>
      <c r="J58" s="64" t="s">
        <v>3287</v>
      </c>
      <c r="K58" s="65"/>
      <c r="L58" s="66"/>
      <c r="M58" s="525"/>
      <c r="N58" s="520"/>
      <c r="O58" s="227">
        <v>1</v>
      </c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>
        <v>4</v>
      </c>
      <c r="B59" s="38">
        <v>4</v>
      </c>
      <c r="C59" s="124">
        <v>14085</v>
      </c>
      <c r="D59" s="785" t="s">
        <v>3288</v>
      </c>
      <c r="E59" s="114" t="s">
        <v>3289</v>
      </c>
      <c r="F59" s="274">
        <v>-2</v>
      </c>
      <c r="G59" s="115" t="s">
        <v>3290</v>
      </c>
      <c r="H59" s="131">
        <v>4680</v>
      </c>
      <c r="I59" s="101">
        <f>IF(F59="","",INT(F59*H59))</f>
        <v>-9360</v>
      </c>
      <c r="J59" s="64"/>
      <c r="K59" s="65"/>
      <c r="L59" s="66"/>
      <c r="M59" s="525"/>
      <c r="N59" s="520"/>
      <c r="O59" s="227">
        <v>2</v>
      </c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>
        <v>4</v>
      </c>
      <c r="B60" s="38">
        <v>4</v>
      </c>
      <c r="C60" s="124">
        <v>14081</v>
      </c>
      <c r="D60" s="785" t="s">
        <v>3178</v>
      </c>
      <c r="E60" s="114" t="s">
        <v>3036</v>
      </c>
      <c r="F60" s="274">
        <v>-2</v>
      </c>
      <c r="G60" s="115" t="s">
        <v>3179</v>
      </c>
      <c r="H60" s="131">
        <v>12300</v>
      </c>
      <c r="I60" s="101">
        <f>IF(F60="","",INT(F60*H60))</f>
        <v>-24600</v>
      </c>
      <c r="J60" s="64"/>
      <c r="K60" s="65"/>
      <c r="L60" s="66"/>
      <c r="M60" s="525"/>
      <c r="N60" s="520"/>
      <c r="O60" s="227">
        <v>0</v>
      </c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>
        <v>4</v>
      </c>
      <c r="B61" s="38">
        <v>4</v>
      </c>
      <c r="C61" s="124">
        <v>1346005</v>
      </c>
      <c r="D61" s="785" t="s">
        <v>3180</v>
      </c>
      <c r="E61" s="114" t="s">
        <v>3181</v>
      </c>
      <c r="F61" s="274">
        <v>-2</v>
      </c>
      <c r="G61" s="115" t="s">
        <v>3182</v>
      </c>
      <c r="H61" s="131">
        <v>1980</v>
      </c>
      <c r="I61" s="101">
        <f>IF(F61="","",INT(F61*H61))</f>
        <v>-3960</v>
      </c>
      <c r="J61" s="64" t="s">
        <v>3183</v>
      </c>
      <c r="K61" s="65"/>
      <c r="L61" s="66"/>
      <c r="M61" s="525"/>
      <c r="N61" s="520"/>
      <c r="O61" s="227">
        <v>0</v>
      </c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78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2586" customFormat="1" ht="24" customHeight="1">
      <c r="A64" s="2566">
        <v>4</v>
      </c>
      <c r="B64" s="2566">
        <v>4</v>
      </c>
      <c r="C64" s="2567">
        <v>807</v>
      </c>
      <c r="D64" s="2568" t="s">
        <v>3354</v>
      </c>
      <c r="E64" s="2569" t="s">
        <v>3355</v>
      </c>
      <c r="F64" s="2570">
        <v>1</v>
      </c>
      <c r="G64" s="2571" t="s">
        <v>3356</v>
      </c>
      <c r="H64" s="2572">
        <f>見積比較!O$33</f>
        <v>192000</v>
      </c>
      <c r="I64" s="101">
        <f>IF(F64="","",INT(F64*H64))</f>
        <v>192000</v>
      </c>
      <c r="J64" s="2574" t="s">
        <v>3357</v>
      </c>
      <c r="K64" s="2575"/>
      <c r="L64" s="2576"/>
      <c r="M64" s="2577"/>
      <c r="N64" s="2578"/>
      <c r="O64" s="2579">
        <v>0</v>
      </c>
      <c r="P64" s="2580"/>
      <c r="Q64" s="2581"/>
      <c r="R64" s="2581"/>
      <c r="S64" s="2581"/>
      <c r="T64" s="2581"/>
      <c r="U64" s="2581"/>
      <c r="V64" s="2581"/>
      <c r="W64" s="2581"/>
      <c r="X64" s="2582"/>
      <c r="Y64" s="2582"/>
      <c r="Z64" s="2582"/>
      <c r="AA64" s="2582"/>
      <c r="AB64" s="2582"/>
      <c r="AC64" s="2581"/>
      <c r="AD64" s="2583"/>
      <c r="AE64" s="2584"/>
      <c r="AF64" s="2581"/>
      <c r="AG64" s="2581"/>
      <c r="AH64" s="2585"/>
    </row>
    <row r="65" spans="1:34" s="2586" customFormat="1" ht="24" customHeight="1">
      <c r="A65" s="2566">
        <v>4</v>
      </c>
      <c r="B65" s="2566">
        <v>4</v>
      </c>
      <c r="C65" s="2567">
        <v>808</v>
      </c>
      <c r="D65" s="2568" t="s">
        <v>3358</v>
      </c>
      <c r="E65" s="2569" t="s">
        <v>3351</v>
      </c>
      <c r="F65" s="2570">
        <v>1</v>
      </c>
      <c r="G65" s="2571" t="s">
        <v>3359</v>
      </c>
      <c r="H65" s="2572">
        <f>見積比較!O$34</f>
        <v>392000</v>
      </c>
      <c r="I65" s="101">
        <f>IF(F65="","",INT(F65*H65))</f>
        <v>392000</v>
      </c>
      <c r="J65" s="2574" t="s">
        <v>3360</v>
      </c>
      <c r="K65" s="2575"/>
      <c r="L65" s="2576"/>
      <c r="M65" s="2577"/>
      <c r="N65" s="2578"/>
      <c r="O65" s="2579">
        <v>0</v>
      </c>
      <c r="P65" s="2580"/>
      <c r="Q65" s="2581"/>
      <c r="R65" s="2581"/>
      <c r="S65" s="2581"/>
      <c r="T65" s="2581"/>
      <c r="U65" s="2581"/>
      <c r="V65" s="2581"/>
      <c r="W65" s="2581"/>
      <c r="X65" s="2582"/>
      <c r="Y65" s="2582"/>
      <c r="Z65" s="2582"/>
      <c r="AA65" s="2582"/>
      <c r="AB65" s="2582"/>
      <c r="AC65" s="2581"/>
      <c r="AD65" s="2583"/>
      <c r="AE65" s="2584"/>
      <c r="AF65" s="2581"/>
      <c r="AG65" s="2581"/>
      <c r="AH65" s="2585"/>
    </row>
    <row r="66" spans="1:34" s="2586" customFormat="1" ht="24" customHeight="1">
      <c r="A66" s="2566">
        <v>4</v>
      </c>
      <c r="B66" s="2566">
        <v>4</v>
      </c>
      <c r="C66" s="2567">
        <v>809</v>
      </c>
      <c r="D66" s="2568" t="s">
        <v>3361</v>
      </c>
      <c r="E66" s="2569" t="s">
        <v>3362</v>
      </c>
      <c r="F66" s="2570">
        <v>1</v>
      </c>
      <c r="G66" s="2571" t="s">
        <v>3359</v>
      </c>
      <c r="H66" s="2572">
        <f>見積比較!O$35</f>
        <v>359000</v>
      </c>
      <c r="I66" s="101">
        <f>IF(F66="","",INT(F66*H66))</f>
        <v>359000</v>
      </c>
      <c r="J66" s="2574" t="s">
        <v>3360</v>
      </c>
      <c r="K66" s="2575"/>
      <c r="L66" s="2576"/>
      <c r="M66" s="2577"/>
      <c r="N66" s="2578"/>
      <c r="O66" s="2579">
        <v>0</v>
      </c>
      <c r="P66" s="2580"/>
      <c r="Q66" s="2581"/>
      <c r="R66" s="2581"/>
      <c r="S66" s="2581"/>
      <c r="T66" s="2581"/>
      <c r="U66" s="2581"/>
      <c r="V66" s="2581"/>
      <c r="W66" s="2581"/>
      <c r="X66" s="2582"/>
      <c r="Y66" s="2582"/>
      <c r="Z66" s="2582"/>
      <c r="AA66" s="2582"/>
      <c r="AB66" s="2582"/>
      <c r="AC66" s="2581"/>
      <c r="AD66" s="2583"/>
      <c r="AE66" s="2584"/>
      <c r="AF66" s="2581"/>
      <c r="AG66" s="2581"/>
      <c r="AH66" s="2585"/>
    </row>
    <row r="67" spans="1:34" s="2586" customFormat="1" ht="24" customHeight="1">
      <c r="A67" s="2566">
        <v>4</v>
      </c>
      <c r="B67" s="2566">
        <v>4</v>
      </c>
      <c r="C67" s="2567">
        <v>810</v>
      </c>
      <c r="D67" s="2568" t="s">
        <v>3363</v>
      </c>
      <c r="E67" s="2569" t="s">
        <v>3364</v>
      </c>
      <c r="F67" s="2570">
        <v>1</v>
      </c>
      <c r="G67" s="2571" t="s">
        <v>3365</v>
      </c>
      <c r="H67" s="2572">
        <f>見積比較!O$36</f>
        <v>251000</v>
      </c>
      <c r="I67" s="101">
        <f>IF(F67="","",INT(F67*H67))</f>
        <v>251000</v>
      </c>
      <c r="J67" s="2574" t="s">
        <v>3366</v>
      </c>
      <c r="K67" s="2575"/>
      <c r="L67" s="2576"/>
      <c r="M67" s="2577"/>
      <c r="N67" s="2578"/>
      <c r="O67" s="2579">
        <v>0</v>
      </c>
      <c r="P67" s="2580"/>
      <c r="Q67" s="2581"/>
      <c r="R67" s="2581"/>
      <c r="S67" s="2581"/>
      <c r="T67" s="2581"/>
      <c r="U67" s="2581"/>
      <c r="V67" s="2581"/>
      <c r="W67" s="2581"/>
      <c r="X67" s="2582"/>
      <c r="Y67" s="2582"/>
      <c r="Z67" s="2582"/>
      <c r="AA67" s="2582"/>
      <c r="AB67" s="2582"/>
      <c r="AC67" s="2581"/>
      <c r="AD67" s="2583"/>
      <c r="AE67" s="2584"/>
      <c r="AF67" s="2581"/>
      <c r="AG67" s="2581"/>
      <c r="AH67" s="2585"/>
    </row>
    <row r="68" spans="1:34" s="2586" customFormat="1" ht="24" customHeight="1">
      <c r="A68" s="2566"/>
      <c r="B68" s="2566"/>
      <c r="C68" s="2567"/>
      <c r="D68" s="2598"/>
      <c r="E68" s="2569"/>
      <c r="F68" s="2570"/>
      <c r="G68" s="2571"/>
      <c r="H68" s="2572"/>
      <c r="I68" s="2573" t="str">
        <f t="shared" ref="I68:I69" si="2">IF(F68="","",INT(F68*H68))</f>
        <v/>
      </c>
      <c r="J68" s="2574"/>
      <c r="K68" s="2575"/>
      <c r="L68" s="2576"/>
      <c r="M68" s="2577"/>
      <c r="N68" s="2578"/>
      <c r="O68" s="2579"/>
      <c r="P68" s="2580"/>
      <c r="Q68" s="2581"/>
      <c r="R68" s="2581"/>
      <c r="S68" s="2581"/>
      <c r="T68" s="2581"/>
      <c r="U68" s="2581"/>
      <c r="V68" s="2581"/>
      <c r="W68" s="2581"/>
      <c r="X68" s="2582"/>
      <c r="Y68" s="2582"/>
      <c r="Z68" s="2582"/>
      <c r="AA68" s="2582"/>
      <c r="AB68" s="2582"/>
      <c r="AC68" s="2581"/>
      <c r="AD68" s="2583"/>
      <c r="AE68" s="2584"/>
      <c r="AF68" s="2581"/>
      <c r="AG68" s="2581"/>
      <c r="AH68" s="2585"/>
    </row>
    <row r="69" spans="1:34" s="2586" customFormat="1" ht="24" customHeight="1">
      <c r="A69" s="2566"/>
      <c r="B69" s="2566"/>
      <c r="C69" s="2567"/>
      <c r="D69" s="2598"/>
      <c r="E69" s="2569"/>
      <c r="F69" s="2570"/>
      <c r="G69" s="2571"/>
      <c r="H69" s="2572"/>
      <c r="I69" s="2573" t="str">
        <f t="shared" si="2"/>
        <v/>
      </c>
      <c r="J69" s="2574"/>
      <c r="K69" s="2575"/>
      <c r="L69" s="2576"/>
      <c r="M69" s="2577"/>
      <c r="N69" s="2578"/>
      <c r="O69" s="2579"/>
      <c r="P69" s="2580"/>
      <c r="Q69" s="2581"/>
      <c r="R69" s="2581"/>
      <c r="S69" s="2581"/>
      <c r="T69" s="2581"/>
      <c r="U69" s="2581"/>
      <c r="V69" s="2581"/>
      <c r="W69" s="2581"/>
      <c r="X69" s="2582"/>
      <c r="Y69" s="2582"/>
      <c r="Z69" s="2582"/>
      <c r="AA69" s="2582"/>
      <c r="AB69" s="2582"/>
      <c r="AC69" s="2581"/>
      <c r="AD69" s="2583"/>
      <c r="AE69" s="2584"/>
      <c r="AF69" s="2581"/>
      <c r="AG69" s="2581"/>
      <c r="AH69" s="2585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1127630</v>
      </c>
      <c r="J70" s="822" t="str">
        <f>IF(C51="部分撤去工事","）うち費用",")")</f>
        <v>)</v>
      </c>
      <c r="K70" s="821">
        <f>IF(C51="部分撤去工事",(#REF!+L70),0)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22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22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.25" customHeight="1" thickBot="1">
      <c r="C72" s="2822" t="s">
        <v>320</v>
      </c>
      <c r="D72" s="2822"/>
      <c r="E72" s="2822"/>
      <c r="F72" s="2822"/>
      <c r="G72" s="2822"/>
      <c r="H72" s="2822"/>
      <c r="I72" s="2822"/>
      <c r="J72" s="2822"/>
      <c r="K72" s="2822"/>
      <c r="L72" s="2822"/>
      <c r="O72" s="2823" t="s">
        <v>132</v>
      </c>
      <c r="P72" s="2823"/>
      <c r="Q72" s="2823"/>
      <c r="R72" s="2823"/>
      <c r="S72" s="2823"/>
      <c r="T72" s="2823"/>
      <c r="U72" s="2823"/>
      <c r="V72" s="2823"/>
      <c r="W72" s="2823"/>
      <c r="X72" s="2823"/>
      <c r="Y72" s="2823"/>
      <c r="Z72" s="2823"/>
      <c r="AA72" s="2823"/>
      <c r="AB72" s="2823"/>
      <c r="AC72" s="2823"/>
      <c r="AD72" s="2823"/>
      <c r="AE72" s="2823"/>
      <c r="AF72" s="2823"/>
      <c r="AG72" s="2823"/>
      <c r="AH72" s="282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5" t="s">
        <v>6</v>
      </c>
      <c r="K73" s="2826"/>
      <c r="L73" s="2827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3037</v>
      </c>
      <c r="D74" s="129"/>
      <c r="E74" s="130"/>
      <c r="F74" s="273"/>
      <c r="G74" s="98"/>
      <c r="H74" s="90" t="s">
        <v>11</v>
      </c>
      <c r="I74" s="90" t="s">
        <v>11</v>
      </c>
      <c r="J74" s="2819"/>
      <c r="K74" s="2820"/>
      <c r="L74" s="2821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3</v>
      </c>
      <c r="B76" s="38">
        <v>3</v>
      </c>
      <c r="C76" s="124">
        <v>1800900</v>
      </c>
      <c r="D76" s="785" t="s">
        <v>3038</v>
      </c>
      <c r="E76" s="114" t="s">
        <v>3039</v>
      </c>
      <c r="F76" s="274">
        <v>-34</v>
      </c>
      <c r="G76" s="115" t="s">
        <v>143</v>
      </c>
      <c r="H76" s="131">
        <v>210</v>
      </c>
      <c r="I76" s="101">
        <f>IF(F76="","",INT(F76*H76))</f>
        <v>-7140</v>
      </c>
      <c r="J76" s="64" t="s">
        <v>3040</v>
      </c>
      <c r="K76" s="65"/>
      <c r="L76" s="66"/>
      <c r="M76" s="525"/>
      <c r="N76" s="520"/>
      <c r="O76" s="227">
        <v>0.1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>
        <v>4</v>
      </c>
      <c r="B77" s="38">
        <v>4</v>
      </c>
      <c r="C77" s="124">
        <v>1800900</v>
      </c>
      <c r="D77" s="785" t="s">
        <v>3038</v>
      </c>
      <c r="E77" s="114" t="s">
        <v>3039</v>
      </c>
      <c r="F77" s="274">
        <v>-18</v>
      </c>
      <c r="G77" s="115" t="s">
        <v>143</v>
      </c>
      <c r="H77" s="131">
        <v>290</v>
      </c>
      <c r="I77" s="101">
        <f>IF(F77="","",INT(F77*H77))</f>
        <v>-5220</v>
      </c>
      <c r="J77" s="64" t="s">
        <v>3040</v>
      </c>
      <c r="K77" s="65"/>
      <c r="L77" s="66"/>
      <c r="M77" s="525"/>
      <c r="N77" s="520"/>
      <c r="O77" s="227">
        <v>0.1</v>
      </c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31"/>
      <c r="I78" s="101" t="str">
        <f t="shared" si="3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>
        <v>3</v>
      </c>
      <c r="B79" s="38">
        <v>3</v>
      </c>
      <c r="C79" s="124">
        <v>1840401</v>
      </c>
      <c r="D79" s="785" t="s">
        <v>3041</v>
      </c>
      <c r="E79" s="114" t="s">
        <v>3042</v>
      </c>
      <c r="F79" s="274">
        <v>-34</v>
      </c>
      <c r="G79" s="115" t="s">
        <v>143</v>
      </c>
      <c r="H79" s="131">
        <v>1230</v>
      </c>
      <c r="I79" s="101">
        <f>IF(F79="","",INT(F79*H79))</f>
        <v>-41820</v>
      </c>
      <c r="J79" s="64" t="s">
        <v>3043</v>
      </c>
      <c r="K79" s="65"/>
      <c r="L79" s="66"/>
      <c r="M79" s="525"/>
      <c r="N79" s="520"/>
      <c r="O79" s="227">
        <v>0.3</v>
      </c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>
        <v>4</v>
      </c>
      <c r="B80" s="38">
        <v>4</v>
      </c>
      <c r="C80" s="124">
        <v>1840401</v>
      </c>
      <c r="D80" s="785" t="s">
        <v>3041</v>
      </c>
      <c r="E80" s="114" t="s">
        <v>3042</v>
      </c>
      <c r="F80" s="274">
        <v>-18</v>
      </c>
      <c r="G80" s="115" t="s">
        <v>143</v>
      </c>
      <c r="H80" s="131">
        <v>1630</v>
      </c>
      <c r="I80" s="101">
        <f>IF(F80="","",INT(F80*H80))</f>
        <v>-29340</v>
      </c>
      <c r="J80" s="64" t="s">
        <v>3043</v>
      </c>
      <c r="K80" s="65"/>
      <c r="L80" s="66"/>
      <c r="M80" s="525"/>
      <c r="N80" s="520"/>
      <c r="O80" s="227">
        <v>0.3</v>
      </c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/>
      <c r="F81" s="274"/>
      <c r="G81" s="115"/>
      <c r="H81" s="131"/>
      <c r="I81" s="101" t="str">
        <f t="shared" si="3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3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/>
      <c r="F83" s="274"/>
      <c r="G83" s="115"/>
      <c r="H83" s="131"/>
      <c r="I83" s="101" t="str">
        <f t="shared" si="3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/>
      <c r="E84" s="114"/>
      <c r="F84" s="274"/>
      <c r="G84" s="115"/>
      <c r="H84" s="131"/>
      <c r="I84" s="101" t="str">
        <f t="shared" si="3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/>
      <c r="F85" s="274"/>
      <c r="G85" s="115"/>
      <c r="H85" s="131"/>
      <c r="I85" s="101" t="str">
        <f t="shared" si="3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/>
      <c r="F86" s="274"/>
      <c r="G86" s="115"/>
      <c r="H86" s="131"/>
      <c r="I86" s="101" t="str">
        <f t="shared" si="3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/>
      <c r="F87" s="274"/>
      <c r="G87" s="115"/>
      <c r="H87" s="131"/>
      <c r="I87" s="101" t="str">
        <f t="shared" si="3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70</v>
      </c>
      <c r="I93" s="105">
        <f>SUM(I75:I92)</f>
        <v>-83520</v>
      </c>
      <c r="J93" s="822" t="str">
        <f>IF(C74="部分撤去工事","）うち費用",")")</f>
        <v>)</v>
      </c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23</v>
      </c>
      <c r="G94" s="122" t="s">
        <v>49</v>
      </c>
      <c r="H94" s="123">
        <f>+H71</f>
        <v>35</v>
      </c>
      <c r="I94" s="123"/>
      <c r="M94" s="33" t="str">
        <f>IF(A96="","EOL","")</f>
        <v/>
      </c>
      <c r="N94" s="1">
        <f>+F94</f>
        <v>23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2" t="s">
        <v>320</v>
      </c>
      <c r="D95" s="2822"/>
      <c r="E95" s="2822"/>
      <c r="F95" s="2822"/>
      <c r="G95" s="2822"/>
      <c r="H95" s="2822"/>
      <c r="I95" s="2822"/>
      <c r="J95" s="2822"/>
      <c r="K95" s="2822"/>
      <c r="L95" s="2822"/>
      <c r="O95" s="2823" t="s">
        <v>132</v>
      </c>
      <c r="P95" s="2823"/>
      <c r="Q95" s="2823"/>
      <c r="R95" s="2823"/>
      <c r="S95" s="2823"/>
      <c r="T95" s="2823"/>
      <c r="U95" s="2823"/>
      <c r="V95" s="2823"/>
      <c r="W95" s="2823"/>
      <c r="X95" s="2823"/>
      <c r="Y95" s="2823"/>
      <c r="Z95" s="2823"/>
      <c r="AA95" s="2823"/>
      <c r="AB95" s="2823"/>
      <c r="AC95" s="2823"/>
      <c r="AD95" s="2823"/>
      <c r="AE95" s="2823"/>
      <c r="AF95" s="2823"/>
      <c r="AG95" s="2823"/>
      <c r="AH95" s="282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5" t="s">
        <v>6</v>
      </c>
      <c r="K96" s="2826"/>
      <c r="L96" s="2827"/>
      <c r="M96" s="521"/>
      <c r="N96" s="522" t="s">
        <v>378</v>
      </c>
      <c r="O96" s="154" t="s">
        <v>67</v>
      </c>
      <c r="P96" s="386" t="s">
        <v>264</v>
      </c>
      <c r="Q96" s="276" t="s">
        <v>304</v>
      </c>
      <c r="R96" s="276" t="s">
        <v>212</v>
      </c>
      <c r="S96" s="276" t="s">
        <v>213</v>
      </c>
      <c r="T96" s="276" t="s">
        <v>265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267</v>
      </c>
      <c r="AC96" s="458" t="s">
        <v>313</v>
      </c>
      <c r="AD96" s="459" t="s">
        <v>314</v>
      </c>
      <c r="AE96" s="460" t="s">
        <v>128</v>
      </c>
      <c r="AF96" s="152" t="s">
        <v>131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3019</v>
      </c>
      <c r="D97" s="129"/>
      <c r="E97" s="130"/>
      <c r="F97" s="273"/>
      <c r="G97" s="98"/>
      <c r="H97" s="90" t="s">
        <v>11</v>
      </c>
      <c r="I97" s="90" t="s">
        <v>11</v>
      </c>
      <c r="J97" s="2819"/>
      <c r="K97" s="2820"/>
      <c r="L97" s="2821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4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39" customFormat="1" ht="24" customHeight="1">
      <c r="A99" s="38">
        <v>3</v>
      </c>
      <c r="B99" s="38">
        <v>3</v>
      </c>
      <c r="C99" s="124">
        <v>19014</v>
      </c>
      <c r="D99" s="785" t="s">
        <v>3044</v>
      </c>
      <c r="E99" s="114" t="s">
        <v>3045</v>
      </c>
      <c r="F99" s="274">
        <v>-1.3</v>
      </c>
      <c r="G99" s="115" t="s">
        <v>3046</v>
      </c>
      <c r="H99" s="131">
        <v>3810</v>
      </c>
      <c r="I99" s="101">
        <f>IF(F99="","",INT(F99*H99))</f>
        <v>-4953</v>
      </c>
      <c r="J99" s="64" t="s">
        <v>3047</v>
      </c>
      <c r="K99" s="65"/>
      <c r="L99" s="66"/>
      <c r="M99" s="525"/>
      <c r="N99" s="520"/>
      <c r="O99" s="227">
        <v>13</v>
      </c>
      <c r="P99" s="228"/>
      <c r="Q99" s="229"/>
      <c r="R99" s="229"/>
      <c r="S99" s="229"/>
      <c r="T99" s="229"/>
      <c r="U99" s="229"/>
      <c r="V99" s="229"/>
      <c r="W99" s="229"/>
      <c r="X99" s="230"/>
      <c r="Y99" s="230"/>
      <c r="Z99" s="230"/>
      <c r="AA99" s="230"/>
      <c r="AB99" s="230"/>
      <c r="AC99" s="229"/>
      <c r="AD99" s="461"/>
      <c r="AE99" s="462"/>
      <c r="AF99" s="229"/>
      <c r="AG99" s="229"/>
      <c r="AH99" s="213"/>
    </row>
    <row r="100" spans="1:34" s="39" customFormat="1" ht="24" customHeight="1">
      <c r="A100" s="38">
        <v>3</v>
      </c>
      <c r="B100" s="38">
        <v>3</v>
      </c>
      <c r="C100" s="124">
        <v>19015</v>
      </c>
      <c r="D100" s="785" t="s">
        <v>3048</v>
      </c>
      <c r="E100" s="114" t="s">
        <v>3049</v>
      </c>
      <c r="F100" s="274">
        <v>-34</v>
      </c>
      <c r="G100" s="115" t="s">
        <v>3050</v>
      </c>
      <c r="H100" s="131">
        <v>5690</v>
      </c>
      <c r="I100" s="101">
        <f>IF(F100="","",INT(F100*H100))</f>
        <v>-193460</v>
      </c>
      <c r="J100" s="64" t="s">
        <v>3051</v>
      </c>
      <c r="K100" s="65"/>
      <c r="L100" s="66"/>
      <c r="M100" s="525"/>
      <c r="N100" s="520"/>
      <c r="O100" s="227">
        <v>7</v>
      </c>
      <c r="P100" s="228"/>
      <c r="Q100" s="229"/>
      <c r="R100" s="229"/>
      <c r="S100" s="229"/>
      <c r="T100" s="229"/>
      <c r="U100" s="229"/>
      <c r="V100" s="229"/>
      <c r="W100" s="229"/>
      <c r="X100" s="230"/>
      <c r="Y100" s="230"/>
      <c r="Z100" s="230"/>
      <c r="AA100" s="230"/>
      <c r="AB100" s="230"/>
      <c r="AC100" s="229"/>
      <c r="AD100" s="461"/>
      <c r="AE100" s="462"/>
      <c r="AF100" s="229"/>
      <c r="AG100" s="229"/>
      <c r="AH100" s="213"/>
    </row>
    <row r="101" spans="1:34" s="39" customFormat="1" ht="24" customHeight="1">
      <c r="A101" s="38">
        <v>4</v>
      </c>
      <c r="B101" s="38">
        <v>4</v>
      </c>
      <c r="C101" s="124">
        <v>19015</v>
      </c>
      <c r="D101" s="785" t="s">
        <v>3052</v>
      </c>
      <c r="E101" s="114" t="s">
        <v>3053</v>
      </c>
      <c r="F101" s="274">
        <v>-18</v>
      </c>
      <c r="G101" s="115" t="s">
        <v>3054</v>
      </c>
      <c r="H101" s="131">
        <v>6980</v>
      </c>
      <c r="I101" s="101">
        <f>IF(F101="","",INT(F101*H101))</f>
        <v>-125640</v>
      </c>
      <c r="J101" s="64" t="s">
        <v>3055</v>
      </c>
      <c r="K101" s="65"/>
      <c r="L101" s="66"/>
      <c r="M101" s="525"/>
      <c r="N101" s="520"/>
      <c r="O101" s="227">
        <v>7</v>
      </c>
      <c r="P101" s="228"/>
      <c r="Q101" s="229"/>
      <c r="R101" s="229"/>
      <c r="S101" s="229"/>
      <c r="T101" s="229"/>
      <c r="U101" s="229"/>
      <c r="V101" s="229"/>
      <c r="W101" s="229"/>
      <c r="X101" s="230"/>
      <c r="Y101" s="230"/>
      <c r="Z101" s="230"/>
      <c r="AA101" s="230"/>
      <c r="AB101" s="230"/>
      <c r="AC101" s="229"/>
      <c r="AD101" s="461"/>
      <c r="AE101" s="462"/>
      <c r="AF101" s="229"/>
      <c r="AG101" s="229"/>
      <c r="AH101" s="213"/>
    </row>
    <row r="102" spans="1:34" s="39" customFormat="1" ht="24" customHeight="1">
      <c r="A102" s="38"/>
      <c r="B102" s="38"/>
      <c r="C102" s="124"/>
      <c r="D102" s="125"/>
      <c r="E102" s="114"/>
      <c r="F102" s="274"/>
      <c r="G102" s="115"/>
      <c r="H102" s="131"/>
      <c r="I102" s="101" t="str">
        <f t="shared" si="4"/>
        <v/>
      </c>
      <c r="J102" s="64"/>
      <c r="K102" s="65"/>
      <c r="L102" s="66"/>
      <c r="M102" s="525"/>
      <c r="N102" s="520"/>
      <c r="O102" s="227"/>
      <c r="P102" s="228"/>
      <c r="Q102" s="229"/>
      <c r="R102" s="229"/>
      <c r="S102" s="229"/>
      <c r="T102" s="229"/>
      <c r="U102" s="229"/>
      <c r="V102" s="229"/>
      <c r="W102" s="229"/>
      <c r="X102" s="230"/>
      <c r="Y102" s="230"/>
      <c r="Z102" s="230"/>
      <c r="AA102" s="230"/>
      <c r="AB102" s="230"/>
      <c r="AC102" s="229"/>
      <c r="AD102" s="461"/>
      <c r="AE102" s="462"/>
      <c r="AF102" s="229"/>
      <c r="AG102" s="229"/>
      <c r="AH102" s="213"/>
    </row>
    <row r="103" spans="1:34" s="39" customFormat="1" ht="24" customHeight="1">
      <c r="A103" s="38"/>
      <c r="B103" s="38"/>
      <c r="C103" s="124"/>
      <c r="D103" s="785"/>
      <c r="E103" s="114"/>
      <c r="F103" s="274"/>
      <c r="G103" s="115"/>
      <c r="H103" s="131"/>
      <c r="I103" s="101"/>
      <c r="J103" s="64"/>
      <c r="K103" s="65"/>
      <c r="L103" s="66"/>
      <c r="M103" s="525"/>
      <c r="N103" s="520"/>
      <c r="O103" s="227"/>
      <c r="P103" s="228"/>
      <c r="Q103" s="229"/>
      <c r="R103" s="229"/>
      <c r="S103" s="229"/>
      <c r="T103" s="229"/>
      <c r="U103" s="229"/>
      <c r="V103" s="229"/>
      <c r="W103" s="229"/>
      <c r="X103" s="230"/>
      <c r="Y103" s="230"/>
      <c r="Z103" s="230"/>
      <c r="AA103" s="230"/>
      <c r="AB103" s="230"/>
      <c r="AC103" s="229"/>
      <c r="AD103" s="461"/>
      <c r="AE103" s="462"/>
      <c r="AF103" s="229"/>
      <c r="AG103" s="229"/>
      <c r="AH103" s="213"/>
    </row>
    <row r="104" spans="1:34" s="39" customFormat="1" ht="24" customHeight="1">
      <c r="A104" s="38"/>
      <c r="B104" s="38"/>
      <c r="C104" s="124"/>
      <c r="D104" s="785"/>
      <c r="E104" s="114"/>
      <c r="F104" s="274"/>
      <c r="G104" s="115"/>
      <c r="H104" s="131"/>
      <c r="I104" s="101"/>
      <c r="J104" s="64"/>
      <c r="K104" s="65"/>
      <c r="L104" s="66"/>
      <c r="M104" s="525"/>
      <c r="N104" s="520"/>
      <c r="O104" s="227"/>
      <c r="P104" s="228"/>
      <c r="Q104" s="229"/>
      <c r="R104" s="229"/>
      <c r="S104" s="229"/>
      <c r="T104" s="229"/>
      <c r="U104" s="229"/>
      <c r="V104" s="229"/>
      <c r="W104" s="229"/>
      <c r="X104" s="230"/>
      <c r="Y104" s="230"/>
      <c r="Z104" s="230"/>
      <c r="AA104" s="230"/>
      <c r="AB104" s="230"/>
      <c r="AC104" s="229"/>
      <c r="AD104" s="461"/>
      <c r="AE104" s="462"/>
      <c r="AF104" s="229"/>
      <c r="AG104" s="229"/>
      <c r="AH104" s="213"/>
    </row>
    <row r="105" spans="1:34" s="39" customFormat="1" ht="24" customHeight="1">
      <c r="A105" s="38"/>
      <c r="B105" s="38"/>
      <c r="C105" s="124"/>
      <c r="D105" s="785"/>
      <c r="E105" s="114"/>
      <c r="F105" s="274"/>
      <c r="G105" s="115"/>
      <c r="H105" s="131"/>
      <c r="I105" s="101"/>
      <c r="J105" s="64"/>
      <c r="K105" s="65"/>
      <c r="L105" s="66"/>
      <c r="M105" s="525"/>
      <c r="N105" s="520"/>
      <c r="O105" s="227"/>
      <c r="P105" s="228"/>
      <c r="Q105" s="229"/>
      <c r="R105" s="229"/>
      <c r="S105" s="229"/>
      <c r="T105" s="229"/>
      <c r="U105" s="229"/>
      <c r="V105" s="229"/>
      <c r="W105" s="229"/>
      <c r="X105" s="230"/>
      <c r="Y105" s="230"/>
      <c r="Z105" s="230"/>
      <c r="AA105" s="230"/>
      <c r="AB105" s="230"/>
      <c r="AC105" s="229"/>
      <c r="AD105" s="461"/>
      <c r="AE105" s="462"/>
      <c r="AF105" s="229"/>
      <c r="AG105" s="229"/>
      <c r="AH105" s="213"/>
    </row>
    <row r="106" spans="1:34" s="39" customFormat="1" ht="24" customHeight="1">
      <c r="A106" s="38"/>
      <c r="B106" s="38"/>
      <c r="C106" s="124"/>
      <c r="D106" s="125"/>
      <c r="E106" s="114"/>
      <c r="F106" s="274"/>
      <c r="G106" s="115"/>
      <c r="H106" s="131"/>
      <c r="I106" s="101" t="str">
        <f t="shared" si="4"/>
        <v/>
      </c>
      <c r="J106" s="64"/>
      <c r="K106" s="65"/>
      <c r="L106" s="66"/>
      <c r="M106" s="525"/>
      <c r="N106" s="520"/>
      <c r="O106" s="227"/>
      <c r="P106" s="228"/>
      <c r="Q106" s="229"/>
      <c r="R106" s="229"/>
      <c r="S106" s="229"/>
      <c r="T106" s="229"/>
      <c r="U106" s="229"/>
      <c r="V106" s="229"/>
      <c r="W106" s="229"/>
      <c r="X106" s="230"/>
      <c r="Y106" s="230"/>
      <c r="Z106" s="230"/>
      <c r="AA106" s="230"/>
      <c r="AB106" s="230"/>
      <c r="AC106" s="229"/>
      <c r="AD106" s="461"/>
      <c r="AE106" s="462"/>
      <c r="AF106" s="229"/>
      <c r="AG106" s="229"/>
      <c r="AH106" s="213"/>
    </row>
    <row r="107" spans="1:34" s="39" customFormat="1" ht="24" customHeight="1">
      <c r="A107" s="38"/>
      <c r="B107" s="38"/>
      <c r="C107" s="124"/>
      <c r="D107" s="125"/>
      <c r="E107" s="114"/>
      <c r="F107" s="274"/>
      <c r="G107" s="115"/>
      <c r="H107" s="131"/>
      <c r="I107" s="101" t="str">
        <f t="shared" si="4"/>
        <v/>
      </c>
      <c r="J107" s="64"/>
      <c r="K107" s="65"/>
      <c r="L107" s="66"/>
      <c r="M107" s="525"/>
      <c r="N107" s="520"/>
      <c r="O107" s="227"/>
      <c r="P107" s="228"/>
      <c r="Q107" s="229"/>
      <c r="R107" s="229"/>
      <c r="S107" s="229"/>
      <c r="T107" s="229"/>
      <c r="U107" s="229"/>
      <c r="V107" s="229"/>
      <c r="W107" s="229"/>
      <c r="X107" s="230"/>
      <c r="Y107" s="230"/>
      <c r="Z107" s="230"/>
      <c r="AA107" s="230"/>
      <c r="AB107" s="230"/>
      <c r="AC107" s="229"/>
      <c r="AD107" s="461"/>
      <c r="AE107" s="462"/>
      <c r="AF107" s="229"/>
      <c r="AG107" s="229"/>
      <c r="AH107" s="213"/>
    </row>
    <row r="108" spans="1:34" s="39" customFormat="1" ht="24" customHeight="1">
      <c r="A108" s="38"/>
      <c r="B108" s="38"/>
      <c r="C108" s="124"/>
      <c r="D108" s="125"/>
      <c r="E108" s="114"/>
      <c r="F108" s="274"/>
      <c r="G108" s="115"/>
      <c r="H108" s="131"/>
      <c r="I108" s="101" t="str">
        <f t="shared" si="4"/>
        <v/>
      </c>
      <c r="J108" s="64"/>
      <c r="K108" s="65"/>
      <c r="L108" s="66"/>
      <c r="M108" s="525"/>
      <c r="N108" s="520"/>
      <c r="O108" s="227"/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38"/>
      <c r="B109" s="38"/>
      <c r="C109" s="124"/>
      <c r="D109" s="125"/>
      <c r="E109" s="114"/>
      <c r="F109" s="274"/>
      <c r="G109" s="115"/>
      <c r="H109" s="131"/>
      <c r="I109" s="101" t="str">
        <f t="shared" si="4"/>
        <v/>
      </c>
      <c r="J109" s="64"/>
      <c r="K109" s="65"/>
      <c r="L109" s="66"/>
      <c r="M109" s="525"/>
      <c r="N109" s="520"/>
      <c r="O109" s="227"/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38"/>
      <c r="B110" s="38"/>
      <c r="C110" s="124"/>
      <c r="D110" s="125"/>
      <c r="E110" s="114"/>
      <c r="F110" s="274"/>
      <c r="G110" s="115"/>
      <c r="H110" s="131"/>
      <c r="I110" s="101" t="str">
        <f t="shared" si="4"/>
        <v/>
      </c>
      <c r="J110" s="64"/>
      <c r="K110" s="65"/>
      <c r="L110" s="66"/>
      <c r="M110" s="525"/>
      <c r="N110" s="520"/>
      <c r="O110" s="227"/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38"/>
      <c r="B111" s="38"/>
      <c r="C111" s="124"/>
      <c r="D111" s="125"/>
      <c r="E111" s="114"/>
      <c r="F111" s="274"/>
      <c r="G111" s="115"/>
      <c r="H111" s="131"/>
      <c r="I111" s="101" t="str">
        <f t="shared" si="4"/>
        <v/>
      </c>
      <c r="J111" s="64"/>
      <c r="K111" s="65"/>
      <c r="L111" s="66"/>
      <c r="M111" s="525"/>
      <c r="N111" s="520"/>
      <c r="O111" s="227"/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38"/>
      <c r="B112" s="38"/>
      <c r="C112" s="124"/>
      <c r="D112" s="125"/>
      <c r="E112" s="114"/>
      <c r="F112" s="274"/>
      <c r="G112" s="115"/>
      <c r="H112" s="131"/>
      <c r="I112" s="101" t="str">
        <f t="shared" si="4"/>
        <v/>
      </c>
      <c r="J112" s="64"/>
      <c r="K112" s="65"/>
      <c r="L112" s="66"/>
      <c r="M112" s="525"/>
      <c r="N112" s="520"/>
      <c r="O112" s="227"/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38"/>
      <c r="B113" s="38"/>
      <c r="C113" s="124"/>
      <c r="D113" s="125"/>
      <c r="E113" s="114"/>
      <c r="F113" s="274"/>
      <c r="G113" s="115"/>
      <c r="H113" s="131"/>
      <c r="I113" s="101" t="str">
        <f t="shared" si="4"/>
        <v/>
      </c>
      <c r="J113" s="64"/>
      <c r="K113" s="65"/>
      <c r="L113" s="66"/>
      <c r="M113" s="525"/>
      <c r="N113" s="520"/>
      <c r="O113" s="227"/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38"/>
      <c r="B114" s="38"/>
      <c r="C114" s="124"/>
      <c r="D114" s="125"/>
      <c r="E114" s="114"/>
      <c r="F114" s="274"/>
      <c r="G114" s="115"/>
      <c r="H114" s="131"/>
      <c r="I114" s="101" t="str">
        <f t="shared" si="4"/>
        <v/>
      </c>
      <c r="J114" s="64"/>
      <c r="K114" s="65"/>
      <c r="L114" s="66"/>
      <c r="M114" s="525"/>
      <c r="N114" s="520"/>
      <c r="O114" s="227"/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4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70</v>
      </c>
      <c r="I116" s="105">
        <f>SUM(I98:I115)</f>
        <v>-324053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24</v>
      </c>
      <c r="G117" s="122" t="s">
        <v>49</v>
      </c>
      <c r="H117" s="123">
        <f>+H94</f>
        <v>35</v>
      </c>
      <c r="I117" s="123"/>
      <c r="M117" s="33" t="str">
        <f>IF(A119="","EOL","")</f>
        <v/>
      </c>
      <c r="N117" s="1">
        <f>+F117</f>
        <v>24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2" t="s">
        <v>320</v>
      </c>
      <c r="D118" s="2822"/>
      <c r="E118" s="2822"/>
      <c r="F118" s="2822"/>
      <c r="G118" s="2822"/>
      <c r="H118" s="2822"/>
      <c r="I118" s="2822"/>
      <c r="J118" s="2822"/>
      <c r="K118" s="2822"/>
      <c r="L118" s="2822"/>
      <c r="O118" s="2823" t="s">
        <v>132</v>
      </c>
      <c r="P118" s="2823"/>
      <c r="Q118" s="2823"/>
      <c r="R118" s="2823"/>
      <c r="S118" s="2823"/>
      <c r="T118" s="2823"/>
      <c r="U118" s="2823"/>
      <c r="V118" s="2823"/>
      <c r="W118" s="2823"/>
      <c r="X118" s="2823"/>
      <c r="Y118" s="2823"/>
      <c r="Z118" s="2823"/>
      <c r="AA118" s="2823"/>
      <c r="AB118" s="2823"/>
      <c r="AC118" s="2823"/>
      <c r="AD118" s="2823"/>
      <c r="AE118" s="2823"/>
      <c r="AF118" s="2823"/>
      <c r="AG118" s="2823"/>
      <c r="AH118" s="282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5" t="s">
        <v>6</v>
      </c>
      <c r="K119" s="2826"/>
      <c r="L119" s="2827"/>
      <c r="M119" s="521"/>
      <c r="N119" s="522" t="s">
        <v>378</v>
      </c>
      <c r="O119" s="154" t="s">
        <v>67</v>
      </c>
      <c r="P119" s="386" t="s">
        <v>264</v>
      </c>
      <c r="Q119" s="276" t="s">
        <v>304</v>
      </c>
      <c r="R119" s="276" t="s">
        <v>212</v>
      </c>
      <c r="S119" s="276" t="s">
        <v>213</v>
      </c>
      <c r="T119" s="276" t="s">
        <v>265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267</v>
      </c>
      <c r="AC119" s="458" t="s">
        <v>313</v>
      </c>
      <c r="AD119" s="459" t="s">
        <v>314</v>
      </c>
      <c r="AE119" s="460" t="s">
        <v>128</v>
      </c>
      <c r="AF119" s="152" t="s">
        <v>131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3028</v>
      </c>
      <c r="D120" s="129"/>
      <c r="E120" s="130"/>
      <c r="F120" s="273"/>
      <c r="G120" s="98"/>
      <c r="H120" s="90" t="s">
        <v>11</v>
      </c>
      <c r="I120" s="90" t="s">
        <v>11</v>
      </c>
      <c r="J120" s="2819"/>
      <c r="K120" s="2820"/>
      <c r="L120" s="2821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38" si="5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2586" customFormat="1" ht="24" customHeight="1">
      <c r="A122" s="2566">
        <v>4</v>
      </c>
      <c r="B122" s="2566">
        <v>4</v>
      </c>
      <c r="C122" s="2567">
        <v>2100601</v>
      </c>
      <c r="D122" s="2568" t="s">
        <v>3123</v>
      </c>
      <c r="E122" s="2569" t="s">
        <v>3124</v>
      </c>
      <c r="F122" s="2570">
        <v>21.2</v>
      </c>
      <c r="G122" s="2571" t="s">
        <v>3125</v>
      </c>
      <c r="H122" s="2572">
        <v>4830</v>
      </c>
      <c r="I122" s="2573">
        <f>IF(F122="","",INT(F122*H122))</f>
        <v>102396</v>
      </c>
      <c r="J122" s="2574" t="s">
        <v>3126</v>
      </c>
      <c r="K122" s="2575"/>
      <c r="L122" s="2576"/>
      <c r="M122" s="2577"/>
      <c r="N122" s="2578"/>
      <c r="O122" s="2579">
        <v>1.3</v>
      </c>
      <c r="P122" s="2580"/>
      <c r="Q122" s="2581"/>
      <c r="R122" s="2581"/>
      <c r="S122" s="2581"/>
      <c r="T122" s="2581"/>
      <c r="U122" s="2581"/>
      <c r="V122" s="2581"/>
      <c r="W122" s="2581"/>
      <c r="X122" s="2582"/>
      <c r="Y122" s="2582"/>
      <c r="Z122" s="2582"/>
      <c r="AA122" s="2582"/>
      <c r="AB122" s="2582"/>
      <c r="AC122" s="2581"/>
      <c r="AD122" s="2583"/>
      <c r="AE122" s="2584"/>
      <c r="AF122" s="2581"/>
      <c r="AG122" s="2581"/>
      <c r="AH122" s="2585"/>
    </row>
    <row r="123" spans="1:34" s="2586" customFormat="1" ht="24" customHeight="1">
      <c r="A123" s="2566">
        <v>4</v>
      </c>
      <c r="B123" s="2566">
        <v>4</v>
      </c>
      <c r="C123" s="2567">
        <v>20110</v>
      </c>
      <c r="D123" s="2568" t="s">
        <v>3119</v>
      </c>
      <c r="E123" s="2569" t="s">
        <v>3127</v>
      </c>
      <c r="F123" s="2570">
        <v>21.2</v>
      </c>
      <c r="G123" s="2571" t="s">
        <v>3128</v>
      </c>
      <c r="H123" s="2572">
        <v>2900</v>
      </c>
      <c r="I123" s="2573">
        <f>IF(F123="","",INT(F123*H123))</f>
        <v>61480</v>
      </c>
      <c r="J123" s="2574" t="s">
        <v>3129</v>
      </c>
      <c r="K123" s="2575"/>
      <c r="L123" s="2576"/>
      <c r="M123" s="2577"/>
      <c r="N123" s="2578"/>
      <c r="O123" s="2579">
        <v>0.5</v>
      </c>
      <c r="P123" s="2580"/>
      <c r="Q123" s="2581"/>
      <c r="R123" s="2581"/>
      <c r="S123" s="2581"/>
      <c r="T123" s="2581"/>
      <c r="U123" s="2581"/>
      <c r="V123" s="2581"/>
      <c r="W123" s="2581"/>
      <c r="X123" s="2582"/>
      <c r="Y123" s="2582"/>
      <c r="Z123" s="2582"/>
      <c r="AA123" s="2582"/>
      <c r="AB123" s="2582"/>
      <c r="AC123" s="2581"/>
      <c r="AD123" s="2583"/>
      <c r="AE123" s="2584"/>
      <c r="AF123" s="2581"/>
      <c r="AG123" s="2581"/>
      <c r="AH123" s="2585"/>
    </row>
    <row r="124" spans="1:34" s="2586" customFormat="1" ht="24" customHeight="1">
      <c r="A124" s="2566"/>
      <c r="B124" s="2566"/>
      <c r="C124" s="2567"/>
      <c r="D124" s="2598"/>
      <c r="E124" s="2569"/>
      <c r="F124" s="2570"/>
      <c r="G124" s="2571"/>
      <c r="H124" s="2572"/>
      <c r="I124" s="2573" t="str">
        <f t="shared" si="5"/>
        <v/>
      </c>
      <c r="J124" s="2574"/>
      <c r="K124" s="2575"/>
      <c r="L124" s="2576"/>
      <c r="M124" s="2577"/>
      <c r="N124" s="2578"/>
      <c r="O124" s="2579"/>
      <c r="P124" s="2580"/>
      <c r="Q124" s="2581"/>
      <c r="R124" s="2581"/>
      <c r="S124" s="2581"/>
      <c r="T124" s="2581"/>
      <c r="U124" s="2581"/>
      <c r="V124" s="2581"/>
      <c r="W124" s="2581"/>
      <c r="X124" s="2582"/>
      <c r="Y124" s="2582"/>
      <c r="Z124" s="2582"/>
      <c r="AA124" s="2582"/>
      <c r="AB124" s="2582"/>
      <c r="AC124" s="2581"/>
      <c r="AD124" s="2583"/>
      <c r="AE124" s="2584"/>
      <c r="AF124" s="2581"/>
      <c r="AG124" s="2581"/>
      <c r="AH124" s="2585"/>
    </row>
    <row r="125" spans="1:34" s="2586" customFormat="1" ht="24" customHeight="1">
      <c r="A125" s="2566">
        <v>4</v>
      </c>
      <c r="B125" s="2566">
        <v>4</v>
      </c>
      <c r="C125" s="2567">
        <v>711</v>
      </c>
      <c r="D125" s="2568" t="s">
        <v>3372</v>
      </c>
      <c r="E125" s="2569" t="s">
        <v>3373</v>
      </c>
      <c r="F125" s="2570">
        <v>4</v>
      </c>
      <c r="G125" s="2571" t="s">
        <v>3374</v>
      </c>
      <c r="H125" s="2572">
        <f>見積比較!O$114</f>
        <v>168700</v>
      </c>
      <c r="I125" s="101">
        <f>IF(F125="","",INT(F125*H125))</f>
        <v>674800</v>
      </c>
      <c r="J125" s="2574" t="s">
        <v>3375</v>
      </c>
      <c r="K125" s="2575"/>
      <c r="L125" s="2576"/>
      <c r="M125" s="2577" t="s">
        <v>3235</v>
      </c>
      <c r="N125" s="2578" t="s">
        <v>3378</v>
      </c>
      <c r="O125" s="2579">
        <v>0</v>
      </c>
      <c r="P125" s="2580"/>
      <c r="Q125" s="2581"/>
      <c r="R125" s="2581"/>
      <c r="S125" s="2581"/>
      <c r="T125" s="2581"/>
      <c r="U125" s="2581"/>
      <c r="V125" s="2581"/>
      <c r="W125" s="2581"/>
      <c r="X125" s="2582"/>
      <c r="Y125" s="2582"/>
      <c r="Z125" s="2582"/>
      <c r="AA125" s="2582"/>
      <c r="AB125" s="2582"/>
      <c r="AC125" s="2581"/>
      <c r="AD125" s="2583"/>
      <c r="AE125" s="2584"/>
      <c r="AF125" s="2581"/>
      <c r="AG125" s="2581"/>
      <c r="AH125" s="2585"/>
    </row>
    <row r="126" spans="1:34" s="2586" customFormat="1" ht="24" customHeight="1">
      <c r="A126" s="2566"/>
      <c r="B126" s="2566"/>
      <c r="C126" s="2567"/>
      <c r="D126" s="2605"/>
      <c r="E126" s="2569"/>
      <c r="F126" s="2570"/>
      <c r="G126" s="2571"/>
      <c r="H126" s="2572"/>
      <c r="I126" s="2573" t="str">
        <f t="shared" si="5"/>
        <v/>
      </c>
      <c r="J126" s="2574"/>
      <c r="K126" s="2575"/>
      <c r="L126" s="2576"/>
      <c r="M126" s="2577"/>
      <c r="N126" s="2578"/>
      <c r="O126" s="2579"/>
      <c r="P126" s="2580"/>
      <c r="Q126" s="2581"/>
      <c r="R126" s="2581"/>
      <c r="S126" s="2581"/>
      <c r="T126" s="2581"/>
      <c r="U126" s="2581"/>
      <c r="V126" s="2581"/>
      <c r="W126" s="2581"/>
      <c r="X126" s="2582"/>
      <c r="Y126" s="2582"/>
      <c r="Z126" s="2582"/>
      <c r="AA126" s="2582"/>
      <c r="AB126" s="2582"/>
      <c r="AC126" s="2581"/>
      <c r="AD126" s="2583"/>
      <c r="AE126" s="2584"/>
      <c r="AF126" s="2581"/>
      <c r="AG126" s="2581"/>
      <c r="AH126" s="2585"/>
    </row>
    <row r="127" spans="1:34" s="39" customFormat="1" ht="24" customHeight="1">
      <c r="A127" s="38"/>
      <c r="B127" s="38"/>
      <c r="C127" s="124"/>
      <c r="D127" s="125"/>
      <c r="E127" s="114"/>
      <c r="F127" s="274"/>
      <c r="G127" s="115"/>
      <c r="H127" s="131"/>
      <c r="I127" s="101" t="str">
        <f t="shared" si="5"/>
        <v/>
      </c>
      <c r="J127" s="64"/>
      <c r="K127" s="65"/>
      <c r="L127" s="66"/>
      <c r="M127" s="525"/>
      <c r="N127" s="520"/>
      <c r="O127" s="227"/>
      <c r="P127" s="228"/>
      <c r="Q127" s="229"/>
      <c r="R127" s="229"/>
      <c r="S127" s="229"/>
      <c r="T127" s="229"/>
      <c r="U127" s="229"/>
      <c r="V127" s="229"/>
      <c r="W127" s="229"/>
      <c r="X127" s="230"/>
      <c r="Y127" s="230"/>
      <c r="Z127" s="230"/>
      <c r="AA127" s="230"/>
      <c r="AB127" s="230"/>
      <c r="AC127" s="229"/>
      <c r="AD127" s="461"/>
      <c r="AE127" s="462"/>
      <c r="AF127" s="229"/>
      <c r="AG127" s="229"/>
      <c r="AH127" s="213"/>
    </row>
    <row r="128" spans="1:34" s="39" customFormat="1" ht="24" customHeight="1">
      <c r="A128" s="38"/>
      <c r="B128" s="38"/>
      <c r="C128" s="124"/>
      <c r="D128" s="125"/>
      <c r="E128" s="114"/>
      <c r="F128" s="274"/>
      <c r="G128" s="115"/>
      <c r="H128" s="131"/>
      <c r="I128" s="101" t="str">
        <f t="shared" si="5"/>
        <v/>
      </c>
      <c r="J128" s="64"/>
      <c r="K128" s="65"/>
      <c r="L128" s="66"/>
      <c r="M128" s="525"/>
      <c r="N128" s="520"/>
      <c r="O128" s="227"/>
      <c r="P128" s="228"/>
      <c r="Q128" s="229"/>
      <c r="R128" s="229"/>
      <c r="S128" s="229"/>
      <c r="T128" s="229"/>
      <c r="U128" s="229"/>
      <c r="V128" s="229"/>
      <c r="W128" s="229"/>
      <c r="X128" s="230"/>
      <c r="Y128" s="230"/>
      <c r="Z128" s="230"/>
      <c r="AA128" s="230"/>
      <c r="AB128" s="230"/>
      <c r="AC128" s="229"/>
      <c r="AD128" s="461"/>
      <c r="AE128" s="462"/>
      <c r="AF128" s="229"/>
      <c r="AG128" s="229"/>
      <c r="AH128" s="213"/>
    </row>
    <row r="129" spans="1:34" s="39" customFormat="1" ht="24" customHeight="1">
      <c r="A129" s="38"/>
      <c r="B129" s="38"/>
      <c r="C129" s="124"/>
      <c r="D129" s="125"/>
      <c r="E129" s="114"/>
      <c r="F129" s="274"/>
      <c r="G129" s="115"/>
      <c r="H129" s="131"/>
      <c r="I129" s="101" t="str">
        <f t="shared" si="5"/>
        <v/>
      </c>
      <c r="J129" s="64"/>
      <c r="K129" s="65"/>
      <c r="L129" s="66"/>
      <c r="M129" s="525"/>
      <c r="N129" s="520"/>
      <c r="O129" s="227"/>
      <c r="P129" s="228"/>
      <c r="Q129" s="229"/>
      <c r="R129" s="229"/>
      <c r="S129" s="229"/>
      <c r="T129" s="229"/>
      <c r="U129" s="229"/>
      <c r="V129" s="229"/>
      <c r="W129" s="229"/>
      <c r="X129" s="230"/>
      <c r="Y129" s="230"/>
      <c r="Z129" s="230"/>
      <c r="AA129" s="230"/>
      <c r="AB129" s="230"/>
      <c r="AC129" s="229"/>
      <c r="AD129" s="461"/>
      <c r="AE129" s="462"/>
      <c r="AF129" s="229"/>
      <c r="AG129" s="229"/>
      <c r="AH129" s="213"/>
    </row>
    <row r="130" spans="1:34" s="39" customFormat="1" ht="24" customHeight="1">
      <c r="A130" s="38"/>
      <c r="B130" s="38"/>
      <c r="C130" s="124"/>
      <c r="D130" s="125"/>
      <c r="E130" s="114"/>
      <c r="F130" s="274"/>
      <c r="G130" s="115"/>
      <c r="H130" s="131"/>
      <c r="I130" s="101" t="str">
        <f t="shared" si="5"/>
        <v/>
      </c>
      <c r="J130" s="64"/>
      <c r="K130" s="65"/>
      <c r="L130" s="66"/>
      <c r="M130" s="525"/>
      <c r="N130" s="520"/>
      <c r="O130" s="227"/>
      <c r="P130" s="228"/>
      <c r="Q130" s="229"/>
      <c r="R130" s="229"/>
      <c r="S130" s="229"/>
      <c r="T130" s="229"/>
      <c r="U130" s="229"/>
      <c r="V130" s="229"/>
      <c r="W130" s="229"/>
      <c r="X130" s="230"/>
      <c r="Y130" s="230"/>
      <c r="Z130" s="230"/>
      <c r="AA130" s="230"/>
      <c r="AB130" s="230"/>
      <c r="AC130" s="229"/>
      <c r="AD130" s="461"/>
      <c r="AE130" s="462"/>
      <c r="AF130" s="229"/>
      <c r="AG130" s="229"/>
      <c r="AH130" s="213"/>
    </row>
    <row r="131" spans="1:34" s="39" customFormat="1" ht="24" customHeight="1">
      <c r="A131" s="38"/>
      <c r="B131" s="38"/>
      <c r="C131" s="124"/>
      <c r="D131" s="125"/>
      <c r="E131" s="114"/>
      <c r="F131" s="274"/>
      <c r="G131" s="115"/>
      <c r="H131" s="131"/>
      <c r="I131" s="101" t="str">
        <f t="shared" si="5"/>
        <v/>
      </c>
      <c r="J131" s="64"/>
      <c r="K131" s="65"/>
      <c r="L131" s="66"/>
      <c r="M131" s="525"/>
      <c r="N131" s="520"/>
      <c r="O131" s="227"/>
      <c r="P131" s="228"/>
      <c r="Q131" s="229"/>
      <c r="R131" s="229"/>
      <c r="S131" s="229"/>
      <c r="T131" s="229"/>
      <c r="U131" s="229"/>
      <c r="V131" s="229"/>
      <c r="W131" s="229"/>
      <c r="X131" s="230"/>
      <c r="Y131" s="230"/>
      <c r="Z131" s="230"/>
      <c r="AA131" s="230"/>
      <c r="AB131" s="230"/>
      <c r="AC131" s="229"/>
      <c r="AD131" s="461"/>
      <c r="AE131" s="462"/>
      <c r="AF131" s="229"/>
      <c r="AG131" s="229"/>
      <c r="AH131" s="213"/>
    </row>
    <row r="132" spans="1:34" s="39" customFormat="1" ht="24" customHeight="1">
      <c r="A132" s="38"/>
      <c r="B132" s="38"/>
      <c r="C132" s="124"/>
      <c r="D132" s="125"/>
      <c r="E132" s="114"/>
      <c r="F132" s="274"/>
      <c r="G132" s="115"/>
      <c r="H132" s="131"/>
      <c r="I132" s="101" t="str">
        <f t="shared" si="5"/>
        <v/>
      </c>
      <c r="J132" s="64"/>
      <c r="K132" s="65"/>
      <c r="L132" s="66"/>
      <c r="M132" s="525"/>
      <c r="N132" s="520"/>
      <c r="O132" s="227"/>
      <c r="P132" s="228"/>
      <c r="Q132" s="229"/>
      <c r="R132" s="229"/>
      <c r="S132" s="229"/>
      <c r="T132" s="229"/>
      <c r="U132" s="229"/>
      <c r="V132" s="229"/>
      <c r="W132" s="229"/>
      <c r="X132" s="230"/>
      <c r="Y132" s="230"/>
      <c r="Z132" s="230"/>
      <c r="AA132" s="230"/>
      <c r="AB132" s="230"/>
      <c r="AC132" s="229"/>
      <c r="AD132" s="461"/>
      <c r="AE132" s="462"/>
      <c r="AF132" s="229"/>
      <c r="AG132" s="229"/>
      <c r="AH132" s="213"/>
    </row>
    <row r="133" spans="1:34" s="39" customFormat="1" ht="24" customHeight="1">
      <c r="A133" s="38"/>
      <c r="B133" s="38"/>
      <c r="C133" s="124"/>
      <c r="D133" s="125"/>
      <c r="E133" s="114"/>
      <c r="F133" s="274"/>
      <c r="G133" s="115"/>
      <c r="H133" s="131"/>
      <c r="I133" s="101" t="str">
        <f t="shared" si="5"/>
        <v/>
      </c>
      <c r="J133" s="64"/>
      <c r="K133" s="65"/>
      <c r="L133" s="66"/>
      <c r="M133" s="525"/>
      <c r="N133" s="520"/>
      <c r="O133" s="227"/>
      <c r="P133" s="228"/>
      <c r="Q133" s="229"/>
      <c r="R133" s="229"/>
      <c r="S133" s="229"/>
      <c r="T133" s="229"/>
      <c r="U133" s="229"/>
      <c r="V133" s="229"/>
      <c r="W133" s="229"/>
      <c r="X133" s="230"/>
      <c r="Y133" s="230"/>
      <c r="Z133" s="230"/>
      <c r="AA133" s="230"/>
      <c r="AB133" s="230"/>
      <c r="AC133" s="229"/>
      <c r="AD133" s="461"/>
      <c r="AE133" s="462"/>
      <c r="AF133" s="229"/>
      <c r="AG133" s="229"/>
      <c r="AH133" s="213"/>
    </row>
    <row r="134" spans="1:34" s="39" customFormat="1" ht="24" customHeight="1">
      <c r="A134" s="38"/>
      <c r="B134" s="38"/>
      <c r="C134" s="124"/>
      <c r="D134" s="125"/>
      <c r="E134" s="114"/>
      <c r="F134" s="274"/>
      <c r="G134" s="115"/>
      <c r="H134" s="131"/>
      <c r="I134" s="101" t="str">
        <f t="shared" si="5"/>
        <v/>
      </c>
      <c r="J134" s="64"/>
      <c r="K134" s="65"/>
      <c r="L134" s="66"/>
      <c r="M134" s="525"/>
      <c r="N134" s="520"/>
      <c r="O134" s="227"/>
      <c r="P134" s="228"/>
      <c r="Q134" s="229"/>
      <c r="R134" s="229"/>
      <c r="S134" s="229"/>
      <c r="T134" s="229"/>
      <c r="U134" s="229"/>
      <c r="V134" s="229"/>
      <c r="W134" s="229"/>
      <c r="X134" s="230"/>
      <c r="Y134" s="230"/>
      <c r="Z134" s="230"/>
      <c r="AA134" s="230"/>
      <c r="AB134" s="230"/>
      <c r="AC134" s="229"/>
      <c r="AD134" s="461"/>
      <c r="AE134" s="462"/>
      <c r="AF134" s="229"/>
      <c r="AG134" s="229"/>
      <c r="AH134" s="213"/>
    </row>
    <row r="135" spans="1:34" s="39" customFormat="1" ht="24" customHeight="1">
      <c r="A135" s="38"/>
      <c r="B135" s="38"/>
      <c r="C135" s="124"/>
      <c r="D135" s="125"/>
      <c r="E135" s="114"/>
      <c r="F135" s="274"/>
      <c r="G135" s="115"/>
      <c r="H135" s="131"/>
      <c r="I135" s="101" t="str">
        <f t="shared" si="5"/>
        <v/>
      </c>
      <c r="J135" s="64"/>
      <c r="K135" s="65"/>
      <c r="L135" s="66"/>
      <c r="M135" s="525"/>
      <c r="N135" s="520"/>
      <c r="O135" s="227"/>
      <c r="P135" s="228"/>
      <c r="Q135" s="229"/>
      <c r="R135" s="229"/>
      <c r="S135" s="229"/>
      <c r="T135" s="229"/>
      <c r="U135" s="229"/>
      <c r="V135" s="229"/>
      <c r="W135" s="229"/>
      <c r="X135" s="230"/>
      <c r="Y135" s="230"/>
      <c r="Z135" s="230"/>
      <c r="AA135" s="230"/>
      <c r="AB135" s="230"/>
      <c r="AC135" s="229"/>
      <c r="AD135" s="461"/>
      <c r="AE135" s="462"/>
      <c r="AF135" s="229"/>
      <c r="AG135" s="229"/>
      <c r="AH135" s="213"/>
    </row>
    <row r="136" spans="1:34" s="39" customFormat="1" ht="24" customHeight="1">
      <c r="A136" s="38"/>
      <c r="B136" s="38"/>
      <c r="C136" s="124"/>
      <c r="D136" s="125"/>
      <c r="E136" s="114"/>
      <c r="F136" s="274"/>
      <c r="G136" s="115"/>
      <c r="H136" s="131"/>
      <c r="I136" s="101" t="str">
        <f t="shared" si="5"/>
        <v/>
      </c>
      <c r="J136" s="64"/>
      <c r="K136" s="65"/>
      <c r="L136" s="66"/>
      <c r="M136" s="525"/>
      <c r="N136" s="520"/>
      <c r="O136" s="227"/>
      <c r="P136" s="228"/>
      <c r="Q136" s="229"/>
      <c r="R136" s="229"/>
      <c r="S136" s="229"/>
      <c r="T136" s="229"/>
      <c r="U136" s="229"/>
      <c r="V136" s="229"/>
      <c r="W136" s="229"/>
      <c r="X136" s="230"/>
      <c r="Y136" s="230"/>
      <c r="Z136" s="230"/>
      <c r="AA136" s="230"/>
      <c r="AB136" s="230"/>
      <c r="AC136" s="229"/>
      <c r="AD136" s="461"/>
      <c r="AE136" s="462"/>
      <c r="AF136" s="229"/>
      <c r="AG136" s="229"/>
      <c r="AH136" s="213"/>
    </row>
    <row r="137" spans="1:34" s="39" customFormat="1" ht="24" customHeight="1">
      <c r="A137" s="38"/>
      <c r="B137" s="38"/>
      <c r="C137" s="124"/>
      <c r="D137" s="125"/>
      <c r="E137" s="114"/>
      <c r="F137" s="274"/>
      <c r="G137" s="115"/>
      <c r="H137" s="131"/>
      <c r="I137" s="101" t="str">
        <f t="shared" si="5"/>
        <v/>
      </c>
      <c r="J137" s="64"/>
      <c r="K137" s="65"/>
      <c r="L137" s="66"/>
      <c r="M137" s="525"/>
      <c r="N137" s="520"/>
      <c r="O137" s="227"/>
      <c r="P137" s="228"/>
      <c r="Q137" s="229"/>
      <c r="R137" s="229"/>
      <c r="S137" s="229"/>
      <c r="T137" s="229"/>
      <c r="U137" s="229"/>
      <c r="V137" s="229"/>
      <c r="W137" s="229"/>
      <c r="X137" s="230"/>
      <c r="Y137" s="230"/>
      <c r="Z137" s="230"/>
      <c r="AA137" s="230"/>
      <c r="AB137" s="230"/>
      <c r="AC137" s="229"/>
      <c r="AD137" s="461"/>
      <c r="AE137" s="462"/>
      <c r="AF137" s="229"/>
      <c r="AG137" s="229"/>
      <c r="AH137" s="213"/>
    </row>
    <row r="138" spans="1:34" s="39" customFormat="1" ht="24" customHeight="1">
      <c r="A138" s="38"/>
      <c r="B138" s="38"/>
      <c r="C138" s="124"/>
      <c r="D138" s="125"/>
      <c r="E138" s="114"/>
      <c r="F138" s="274"/>
      <c r="G138" s="115"/>
      <c r="H138" s="131"/>
      <c r="I138" s="101" t="str">
        <f t="shared" si="5"/>
        <v/>
      </c>
      <c r="J138" s="64"/>
      <c r="K138" s="65"/>
      <c r="L138" s="66"/>
      <c r="M138" s="525"/>
      <c r="N138" s="520"/>
      <c r="O138" s="227"/>
      <c r="P138" s="228"/>
      <c r="Q138" s="229"/>
      <c r="R138" s="229"/>
      <c r="S138" s="229"/>
      <c r="T138" s="229"/>
      <c r="U138" s="229"/>
      <c r="V138" s="229"/>
      <c r="W138" s="229"/>
      <c r="X138" s="230"/>
      <c r="Y138" s="230"/>
      <c r="Z138" s="230"/>
      <c r="AA138" s="230"/>
      <c r="AB138" s="230"/>
      <c r="AC138" s="229"/>
      <c r="AD138" s="461"/>
      <c r="AE138" s="462"/>
      <c r="AF138" s="229"/>
      <c r="AG138" s="229"/>
      <c r="AH138" s="213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70</v>
      </c>
      <c r="I139" s="105">
        <f>SUM(I121:I138)</f>
        <v>838676</v>
      </c>
      <c r="J139" s="822" t="str">
        <f>IF(C120="部分撤去工事","）うち費用",")")</f>
        <v>)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25</v>
      </c>
      <c r="G140" s="122" t="s">
        <v>49</v>
      </c>
      <c r="H140" s="123">
        <f>+H117</f>
        <v>35</v>
      </c>
      <c r="I140" s="123"/>
      <c r="M140" s="33" t="str">
        <f>IF(A142="","EOL","")</f>
        <v/>
      </c>
      <c r="N140" s="1">
        <f>+F140</f>
        <v>25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25" customHeight="1" thickBot="1">
      <c r="C141" s="2822" t="s">
        <v>320</v>
      </c>
      <c r="D141" s="2822"/>
      <c r="E141" s="2822"/>
      <c r="F141" s="2822"/>
      <c r="G141" s="2822"/>
      <c r="H141" s="2822"/>
      <c r="I141" s="2822"/>
      <c r="J141" s="2822"/>
      <c r="K141" s="2822"/>
      <c r="L141" s="2822"/>
      <c r="O141" s="2823" t="s">
        <v>132</v>
      </c>
      <c r="P141" s="2823"/>
      <c r="Q141" s="2823"/>
      <c r="R141" s="2823"/>
      <c r="S141" s="2823"/>
      <c r="T141" s="2823"/>
      <c r="U141" s="2823"/>
      <c r="V141" s="2823"/>
      <c r="W141" s="2823"/>
      <c r="X141" s="2823"/>
      <c r="Y141" s="2823"/>
      <c r="Z141" s="2823"/>
      <c r="AA141" s="2823"/>
      <c r="AB141" s="2823"/>
      <c r="AC141" s="2823"/>
      <c r="AD141" s="2823"/>
      <c r="AE141" s="2823"/>
      <c r="AF141" s="2823"/>
      <c r="AG141" s="2823"/>
      <c r="AH141" s="2824"/>
    </row>
    <row r="142" spans="1:34" ht="41.25" customHeight="1">
      <c r="A142" s="5" t="s">
        <v>12</v>
      </c>
      <c r="B142" s="5" t="s">
        <v>44</v>
      </c>
      <c r="C142" s="110" t="s">
        <v>0</v>
      </c>
      <c r="D142" s="106"/>
      <c r="E142" s="107" t="s">
        <v>1</v>
      </c>
      <c r="F142" s="108" t="s">
        <v>2</v>
      </c>
      <c r="G142" s="108" t="s">
        <v>3</v>
      </c>
      <c r="H142" s="109" t="s">
        <v>4</v>
      </c>
      <c r="I142" s="109" t="s">
        <v>5</v>
      </c>
      <c r="J142" s="2825" t="s">
        <v>6</v>
      </c>
      <c r="K142" s="2826"/>
      <c r="L142" s="2827"/>
      <c r="M142" s="521"/>
      <c r="N142" s="522" t="s">
        <v>378</v>
      </c>
      <c r="O142" s="154" t="s">
        <v>67</v>
      </c>
      <c r="P142" s="386" t="s">
        <v>264</v>
      </c>
      <c r="Q142" s="276" t="s">
        <v>304</v>
      </c>
      <c r="R142" s="276" t="s">
        <v>212</v>
      </c>
      <c r="S142" s="276" t="s">
        <v>213</v>
      </c>
      <c r="T142" s="276" t="s">
        <v>265</v>
      </c>
      <c r="U142" s="276" t="s">
        <v>126</v>
      </c>
      <c r="V142" s="153" t="s">
        <v>125</v>
      </c>
      <c r="W142" s="276" t="s">
        <v>266</v>
      </c>
      <c r="X142" s="220" t="s">
        <v>214</v>
      </c>
      <c r="Y142" s="220" t="s">
        <v>215</v>
      </c>
      <c r="Z142" s="220" t="s">
        <v>216</v>
      </c>
      <c r="AA142" s="220" t="s">
        <v>217</v>
      </c>
      <c r="AB142" s="220" t="s">
        <v>267</v>
      </c>
      <c r="AC142" s="458" t="s">
        <v>313</v>
      </c>
      <c r="AD142" s="459" t="s">
        <v>314</v>
      </c>
      <c r="AE142" s="460" t="s">
        <v>128</v>
      </c>
      <c r="AF142" s="152" t="s">
        <v>131</v>
      </c>
      <c r="AG142" s="152" t="s">
        <v>129</v>
      </c>
      <c r="AH142" s="152" t="s">
        <v>130</v>
      </c>
    </row>
    <row r="143" spans="1:34" ht="24" customHeight="1">
      <c r="A143" s="38"/>
      <c r="B143" s="38"/>
      <c r="C143" s="128" t="s">
        <v>3031</v>
      </c>
      <c r="D143" s="129"/>
      <c r="E143" s="130"/>
      <c r="F143" s="273"/>
      <c r="G143" s="98"/>
      <c r="H143" s="90" t="s">
        <v>11</v>
      </c>
      <c r="I143" s="90" t="s">
        <v>11</v>
      </c>
      <c r="J143" s="2819"/>
      <c r="K143" s="2820"/>
      <c r="L143" s="2821"/>
      <c r="M143" s="523"/>
      <c r="N143" s="524"/>
      <c r="O143" s="227"/>
      <c r="P143" s="228"/>
      <c r="Q143" s="229"/>
      <c r="R143" s="229"/>
      <c r="S143" s="229"/>
      <c r="T143" s="229"/>
      <c r="U143" s="229"/>
      <c r="V143" s="229"/>
      <c r="W143" s="229"/>
      <c r="X143" s="230"/>
      <c r="Y143" s="230"/>
      <c r="Z143" s="230"/>
      <c r="AA143" s="230"/>
      <c r="AB143" s="230"/>
      <c r="AC143" s="229"/>
      <c r="AD143" s="461"/>
      <c r="AE143" s="462"/>
      <c r="AF143" s="229"/>
      <c r="AG143" s="229"/>
      <c r="AH143" s="463"/>
    </row>
    <row r="144" spans="1:34" s="39" customFormat="1" ht="24" customHeight="1">
      <c r="A144" s="38"/>
      <c r="B144" s="38"/>
      <c r="C144" s="124"/>
      <c r="D144" s="125"/>
      <c r="E144" s="114"/>
      <c r="F144" s="274"/>
      <c r="G144" s="115"/>
      <c r="H144" s="131"/>
      <c r="I144" s="101" t="str">
        <f t="shared" ref="I144:I161" si="6">IF(F144="","",INT(F144*H144))</f>
        <v/>
      </c>
      <c r="J144" s="64"/>
      <c r="K144" s="65"/>
      <c r="L144" s="66"/>
      <c r="M144" s="525"/>
      <c r="N144" s="520"/>
      <c r="O144" s="227"/>
      <c r="P144" s="228"/>
      <c r="Q144" s="229"/>
      <c r="R144" s="229"/>
      <c r="S144" s="229"/>
      <c r="T144" s="229"/>
      <c r="U144" s="229"/>
      <c r="V144" s="229"/>
      <c r="W144" s="229"/>
      <c r="X144" s="230"/>
      <c r="Y144" s="230"/>
      <c r="Z144" s="230"/>
      <c r="AA144" s="230"/>
      <c r="AB144" s="230"/>
      <c r="AC144" s="229"/>
      <c r="AD144" s="461"/>
      <c r="AE144" s="462"/>
      <c r="AF144" s="229"/>
      <c r="AG144" s="229"/>
      <c r="AH144" s="213"/>
    </row>
    <row r="145" spans="1:34" s="2586" customFormat="1" ht="24" customHeight="1">
      <c r="A145" s="2566">
        <v>4</v>
      </c>
      <c r="B145" s="2566">
        <v>4</v>
      </c>
      <c r="C145" s="2567"/>
      <c r="D145" s="2568" t="s">
        <v>385</v>
      </c>
      <c r="E145" s="2569" t="s">
        <v>3056</v>
      </c>
      <c r="F145" s="2570">
        <v>23.5</v>
      </c>
      <c r="G145" s="2571" t="s">
        <v>3057</v>
      </c>
      <c r="H145" s="2572">
        <v>8280</v>
      </c>
      <c r="I145" s="2573">
        <f t="shared" si="6"/>
        <v>194580</v>
      </c>
      <c r="J145" s="2574" t="s">
        <v>3233</v>
      </c>
      <c r="K145" s="2575"/>
      <c r="L145" s="2576"/>
      <c r="M145" s="2577"/>
      <c r="N145" s="2578" t="s">
        <v>3234</v>
      </c>
      <c r="O145" s="2579"/>
      <c r="P145" s="2580">
        <v>47</v>
      </c>
      <c r="Q145" s="2581"/>
      <c r="R145" s="2581"/>
      <c r="S145" s="2581"/>
      <c r="T145" s="2581"/>
      <c r="U145" s="2581"/>
      <c r="V145" s="2581"/>
      <c r="W145" s="2581"/>
      <c r="X145" s="2582"/>
      <c r="Y145" s="2582"/>
      <c r="Z145" s="2582"/>
      <c r="AA145" s="2582"/>
      <c r="AB145" s="2582"/>
      <c r="AC145" s="2581"/>
      <c r="AD145" s="2583"/>
      <c r="AE145" s="2584"/>
      <c r="AF145" s="2581"/>
      <c r="AG145" s="2581"/>
      <c r="AH145" s="2585"/>
    </row>
    <row r="146" spans="1:34" s="2586" customFormat="1" ht="24" customHeight="1">
      <c r="A146" s="2566">
        <v>4</v>
      </c>
      <c r="B146" s="2566">
        <v>4</v>
      </c>
      <c r="C146" s="2567">
        <v>23090</v>
      </c>
      <c r="D146" s="2568" t="s">
        <v>3184</v>
      </c>
      <c r="E146" s="2569" t="s">
        <v>3161</v>
      </c>
      <c r="F146" s="2570">
        <v>157</v>
      </c>
      <c r="G146" s="2571" t="s">
        <v>3185</v>
      </c>
      <c r="H146" s="2572">
        <v>2280</v>
      </c>
      <c r="I146" s="2573">
        <f>IF(F146="","",INT(F146*H146))</f>
        <v>357960</v>
      </c>
      <c r="J146" s="2574" t="s">
        <v>3186</v>
      </c>
      <c r="K146" s="2575"/>
      <c r="L146" s="2576"/>
      <c r="M146" s="2577"/>
      <c r="N146" s="2578" t="s">
        <v>3234</v>
      </c>
      <c r="O146" s="2579">
        <v>0</v>
      </c>
      <c r="P146" s="2580"/>
      <c r="Q146" s="2581"/>
      <c r="R146" s="2581"/>
      <c r="S146" s="2581"/>
      <c r="T146" s="2581"/>
      <c r="U146" s="2581"/>
      <c r="V146" s="2581"/>
      <c r="W146" s="2581"/>
      <c r="X146" s="2582"/>
      <c r="Y146" s="2582"/>
      <c r="Z146" s="2582"/>
      <c r="AA146" s="2582"/>
      <c r="AB146" s="2582"/>
      <c r="AC146" s="2581"/>
      <c r="AD146" s="2583"/>
      <c r="AE146" s="2584"/>
      <c r="AF146" s="2581"/>
      <c r="AG146" s="2581"/>
      <c r="AH146" s="2585"/>
    </row>
    <row r="147" spans="1:34" s="2586" customFormat="1" ht="24" customHeight="1">
      <c r="A147" s="2566"/>
      <c r="B147" s="2566"/>
      <c r="C147" s="2567"/>
      <c r="D147" s="2598"/>
      <c r="E147" s="2569"/>
      <c r="F147" s="2570"/>
      <c r="G147" s="2571"/>
      <c r="H147" s="2572"/>
      <c r="I147" s="2573" t="str">
        <f t="shared" si="6"/>
        <v/>
      </c>
      <c r="J147" s="2574"/>
      <c r="K147" s="2575"/>
      <c r="L147" s="2576"/>
      <c r="M147" s="2577"/>
      <c r="N147" s="2578"/>
      <c r="O147" s="2579"/>
      <c r="P147" s="2580"/>
      <c r="Q147" s="2581"/>
      <c r="R147" s="2581"/>
      <c r="S147" s="2581"/>
      <c r="T147" s="2581"/>
      <c r="U147" s="2581"/>
      <c r="V147" s="2581"/>
      <c r="W147" s="2581"/>
      <c r="X147" s="2582"/>
      <c r="Y147" s="2582"/>
      <c r="Z147" s="2582"/>
      <c r="AA147" s="2582"/>
      <c r="AB147" s="2582"/>
      <c r="AC147" s="2581"/>
      <c r="AD147" s="2583"/>
      <c r="AE147" s="2584"/>
      <c r="AF147" s="2581"/>
      <c r="AG147" s="2581"/>
      <c r="AH147" s="2585"/>
    </row>
    <row r="148" spans="1:34" s="2586" customFormat="1" ht="24" customHeight="1">
      <c r="A148" s="2566">
        <v>4</v>
      </c>
      <c r="B148" s="2566">
        <v>4</v>
      </c>
      <c r="C148" s="2567">
        <v>24063</v>
      </c>
      <c r="D148" s="2568" t="s">
        <v>3258</v>
      </c>
      <c r="E148" s="2569" t="s">
        <v>3259</v>
      </c>
      <c r="F148" s="2570">
        <v>1.1000000000000001</v>
      </c>
      <c r="G148" s="2571" t="s">
        <v>3260</v>
      </c>
      <c r="H148" s="2572">
        <v>1180</v>
      </c>
      <c r="I148" s="2573">
        <f>IF(F148="","",INT(F148*H148))</f>
        <v>1298</v>
      </c>
      <c r="J148" s="2574"/>
      <c r="K148" s="2575"/>
      <c r="L148" s="2576"/>
      <c r="M148" s="2577" t="s">
        <v>3261</v>
      </c>
      <c r="N148" s="2578" t="s">
        <v>3234</v>
      </c>
      <c r="O148" s="2579">
        <v>0</v>
      </c>
      <c r="P148" s="2580"/>
      <c r="Q148" s="2581"/>
      <c r="R148" s="2581"/>
      <c r="S148" s="2581"/>
      <c r="T148" s="2581"/>
      <c r="U148" s="2581"/>
      <c r="V148" s="2581"/>
      <c r="W148" s="2581"/>
      <c r="X148" s="2582"/>
      <c r="Y148" s="2582"/>
      <c r="Z148" s="2582"/>
      <c r="AA148" s="2582"/>
      <c r="AB148" s="2582"/>
      <c r="AC148" s="2581"/>
      <c r="AD148" s="2583"/>
      <c r="AE148" s="2584"/>
      <c r="AF148" s="2581"/>
      <c r="AG148" s="2581"/>
      <c r="AH148" s="2585"/>
    </row>
    <row r="149" spans="1:34" s="2586" customFormat="1" ht="24" customHeight="1">
      <c r="A149" s="2566"/>
      <c r="B149" s="2566"/>
      <c r="C149" s="2567"/>
      <c r="D149" s="2598"/>
      <c r="E149" s="2569"/>
      <c r="F149" s="2570"/>
      <c r="G149" s="2571"/>
      <c r="H149" s="2572"/>
      <c r="I149" s="2573" t="str">
        <f t="shared" si="6"/>
        <v/>
      </c>
      <c r="J149" s="2574"/>
      <c r="K149" s="2575"/>
      <c r="L149" s="2576"/>
      <c r="M149" s="2577"/>
      <c r="N149" s="2578"/>
      <c r="O149" s="2579"/>
      <c r="P149" s="2580"/>
      <c r="Q149" s="2581"/>
      <c r="R149" s="2581"/>
      <c r="S149" s="2581"/>
      <c r="T149" s="2581"/>
      <c r="U149" s="2581"/>
      <c r="V149" s="2581"/>
      <c r="W149" s="2581"/>
      <c r="X149" s="2582"/>
      <c r="Y149" s="2582"/>
      <c r="Z149" s="2582"/>
      <c r="AA149" s="2582"/>
      <c r="AB149" s="2582"/>
      <c r="AC149" s="2581"/>
      <c r="AD149" s="2583"/>
      <c r="AE149" s="2584"/>
      <c r="AF149" s="2581"/>
      <c r="AG149" s="2581"/>
      <c r="AH149" s="2585"/>
    </row>
    <row r="150" spans="1:34" s="2586" customFormat="1" ht="24" customHeight="1">
      <c r="A150" s="2566">
        <v>3</v>
      </c>
      <c r="B150" s="2566">
        <v>3</v>
      </c>
      <c r="C150" s="2567">
        <v>20060</v>
      </c>
      <c r="D150" s="2568" t="s">
        <v>3245</v>
      </c>
      <c r="E150" s="2569" t="s">
        <v>3249</v>
      </c>
      <c r="F150" s="2570">
        <v>-0.27</v>
      </c>
      <c r="G150" s="2571" t="s">
        <v>3250</v>
      </c>
      <c r="H150" s="2572">
        <v>920</v>
      </c>
      <c r="I150" s="2573">
        <f>IF(F150="","",INT(F150*H150))</f>
        <v>-249</v>
      </c>
      <c r="J150" s="2574" t="s">
        <v>3251</v>
      </c>
      <c r="K150" s="2575"/>
      <c r="L150" s="2576"/>
      <c r="M150" s="2577"/>
      <c r="N150" s="2578" t="s">
        <v>3234</v>
      </c>
      <c r="O150" s="2579">
        <v>0</v>
      </c>
      <c r="P150" s="2580"/>
      <c r="Q150" s="2581"/>
      <c r="R150" s="2581"/>
      <c r="S150" s="2581"/>
      <c r="T150" s="2581"/>
      <c r="U150" s="2581"/>
      <c r="V150" s="2581"/>
      <c r="W150" s="2581"/>
      <c r="X150" s="2582"/>
      <c r="Y150" s="2582"/>
      <c r="Z150" s="2582"/>
      <c r="AA150" s="2582"/>
      <c r="AB150" s="2582"/>
      <c r="AC150" s="2581"/>
      <c r="AD150" s="2583"/>
      <c r="AE150" s="2584"/>
      <c r="AF150" s="2581"/>
      <c r="AG150" s="2581"/>
      <c r="AH150" s="2585"/>
    </row>
    <row r="151" spans="1:34" s="2586" customFormat="1" ht="24" customHeight="1">
      <c r="A151" s="2566">
        <v>4</v>
      </c>
      <c r="B151" s="2566">
        <v>4</v>
      </c>
      <c r="C151" s="2567">
        <v>20060</v>
      </c>
      <c r="D151" s="2568" t="s">
        <v>3245</v>
      </c>
      <c r="E151" s="2569" t="s">
        <v>3252</v>
      </c>
      <c r="F151" s="2570">
        <v>-0.1</v>
      </c>
      <c r="G151" s="2571" t="s">
        <v>3253</v>
      </c>
      <c r="H151" s="2572">
        <v>920</v>
      </c>
      <c r="I151" s="2573">
        <f>IF(F151="","",INT(F151*H151))</f>
        <v>-92</v>
      </c>
      <c r="J151" s="2574" t="s">
        <v>3254</v>
      </c>
      <c r="K151" s="2575"/>
      <c r="L151" s="2576"/>
      <c r="M151" s="2577"/>
      <c r="N151" s="2578" t="s">
        <v>3234</v>
      </c>
      <c r="O151" s="2579">
        <v>0</v>
      </c>
      <c r="P151" s="2580"/>
      <c r="Q151" s="2581"/>
      <c r="R151" s="2581"/>
      <c r="S151" s="2581"/>
      <c r="T151" s="2581"/>
      <c r="U151" s="2581"/>
      <c r="V151" s="2581"/>
      <c r="W151" s="2581"/>
      <c r="X151" s="2582"/>
      <c r="Y151" s="2582"/>
      <c r="Z151" s="2582"/>
      <c r="AA151" s="2582"/>
      <c r="AB151" s="2582"/>
      <c r="AC151" s="2581"/>
      <c r="AD151" s="2583"/>
      <c r="AE151" s="2584"/>
      <c r="AF151" s="2581"/>
      <c r="AG151" s="2581"/>
      <c r="AH151" s="2585"/>
    </row>
    <row r="152" spans="1:34" s="2586" customFormat="1" ht="24" customHeight="1">
      <c r="A152" s="2566">
        <v>3</v>
      </c>
      <c r="B152" s="2566">
        <v>3</v>
      </c>
      <c r="C152" s="2567">
        <v>20061</v>
      </c>
      <c r="D152" s="2568" t="s">
        <v>3245</v>
      </c>
      <c r="E152" s="2569" t="s">
        <v>3246</v>
      </c>
      <c r="F152" s="2570">
        <v>-0.27</v>
      </c>
      <c r="G152" s="2571" t="s">
        <v>3247</v>
      </c>
      <c r="H152" s="2572">
        <f>10900*L152</f>
        <v>17440</v>
      </c>
      <c r="I152" s="2573">
        <f>IF(F152="","",INT(F152*H152))</f>
        <v>-4709</v>
      </c>
      <c r="J152" s="2574" t="s">
        <v>3248</v>
      </c>
      <c r="K152" s="2575"/>
      <c r="L152" s="2576">
        <v>1.6</v>
      </c>
      <c r="M152" s="2577"/>
      <c r="N152" s="2578" t="s">
        <v>3234</v>
      </c>
      <c r="O152" s="2579">
        <v>0</v>
      </c>
      <c r="P152" s="2580"/>
      <c r="Q152" s="2581"/>
      <c r="R152" s="2581"/>
      <c r="S152" s="2581"/>
      <c r="T152" s="2581"/>
      <c r="U152" s="2581"/>
      <c r="V152" s="2581"/>
      <c r="W152" s="2581"/>
      <c r="X152" s="2582"/>
      <c r="Y152" s="2582"/>
      <c r="Z152" s="2582"/>
      <c r="AA152" s="2582"/>
      <c r="AB152" s="2582"/>
      <c r="AC152" s="2581"/>
      <c r="AD152" s="2583"/>
      <c r="AE152" s="2584"/>
      <c r="AF152" s="2581"/>
      <c r="AG152" s="2581"/>
      <c r="AH152" s="2585"/>
    </row>
    <row r="153" spans="1:34" s="2586" customFormat="1" ht="24" customHeight="1">
      <c r="A153" s="2566">
        <v>4</v>
      </c>
      <c r="B153" s="2566">
        <v>4</v>
      </c>
      <c r="C153" s="2567">
        <v>20061</v>
      </c>
      <c r="D153" s="2568" t="s">
        <v>3241</v>
      </c>
      <c r="E153" s="2569" t="s">
        <v>3242</v>
      </c>
      <c r="F153" s="2570">
        <v>1</v>
      </c>
      <c r="G153" s="2571" t="s">
        <v>3243</v>
      </c>
      <c r="H153" s="2572">
        <f>10900*L153</f>
        <v>25069.999999999996</v>
      </c>
      <c r="I153" s="2573">
        <f>IF(F153="","",INT(F153*H153))</f>
        <v>25070</v>
      </c>
      <c r="J153" s="2574" t="s">
        <v>3244</v>
      </c>
      <c r="K153" s="2575"/>
      <c r="L153" s="2576">
        <v>2.2999999999999998</v>
      </c>
      <c r="M153" s="2577"/>
      <c r="N153" s="2578" t="s">
        <v>3234</v>
      </c>
      <c r="O153" s="2579">
        <v>0</v>
      </c>
      <c r="P153" s="2580"/>
      <c r="Q153" s="2581"/>
      <c r="R153" s="2581"/>
      <c r="S153" s="2581"/>
      <c r="T153" s="2581"/>
      <c r="U153" s="2581"/>
      <c r="V153" s="2581"/>
      <c r="W153" s="2581"/>
      <c r="X153" s="2582"/>
      <c r="Y153" s="2582"/>
      <c r="Z153" s="2582"/>
      <c r="AA153" s="2582"/>
      <c r="AB153" s="2582"/>
      <c r="AC153" s="2581"/>
      <c r="AD153" s="2583"/>
      <c r="AE153" s="2584"/>
      <c r="AF153" s="2581"/>
      <c r="AG153" s="2581"/>
      <c r="AH153" s="2585"/>
    </row>
    <row r="154" spans="1:34" s="2586" customFormat="1" ht="24" customHeight="1">
      <c r="A154" s="2566"/>
      <c r="B154" s="2566"/>
      <c r="C154" s="2567"/>
      <c r="D154" s="2598"/>
      <c r="E154" s="2569"/>
      <c r="F154" s="2570"/>
      <c r="G154" s="2571"/>
      <c r="H154" s="2572"/>
      <c r="I154" s="2573" t="str">
        <f t="shared" si="6"/>
        <v/>
      </c>
      <c r="J154" s="2574"/>
      <c r="K154" s="2575"/>
      <c r="L154" s="2576"/>
      <c r="M154" s="2577"/>
      <c r="N154" s="2578"/>
      <c r="O154" s="2579"/>
      <c r="P154" s="2580"/>
      <c r="Q154" s="2581"/>
      <c r="R154" s="2581"/>
      <c r="S154" s="2581"/>
      <c r="T154" s="2581"/>
      <c r="U154" s="2581"/>
      <c r="V154" s="2581"/>
      <c r="W154" s="2581"/>
      <c r="X154" s="2582"/>
      <c r="Y154" s="2582"/>
      <c r="Z154" s="2582"/>
      <c r="AA154" s="2582"/>
      <c r="AB154" s="2582"/>
      <c r="AC154" s="2581"/>
      <c r="AD154" s="2583"/>
      <c r="AE154" s="2584"/>
      <c r="AF154" s="2581"/>
      <c r="AG154" s="2581"/>
      <c r="AH154" s="2585"/>
    </row>
    <row r="155" spans="1:34" s="2586" customFormat="1" ht="24" customHeight="1">
      <c r="A155" s="2566">
        <v>4</v>
      </c>
      <c r="B155" s="2566">
        <v>4</v>
      </c>
      <c r="C155" s="2567">
        <v>24020</v>
      </c>
      <c r="D155" s="2568" t="s">
        <v>3255</v>
      </c>
      <c r="E155" s="2569" t="s">
        <v>3256</v>
      </c>
      <c r="F155" s="2570">
        <v>1.1000000000000001</v>
      </c>
      <c r="G155" s="2571" t="s">
        <v>3257</v>
      </c>
      <c r="H155" s="2572">
        <v>4410</v>
      </c>
      <c r="I155" s="2573">
        <f>IF(F155="","",INT(F155*H155))</f>
        <v>4851</v>
      </c>
      <c r="J155" s="2574"/>
      <c r="K155" s="2575"/>
      <c r="L155" s="2576"/>
      <c r="M155" s="2577"/>
      <c r="N155" s="2578" t="s">
        <v>3234</v>
      </c>
      <c r="O155" s="2579">
        <v>0</v>
      </c>
      <c r="P155" s="2580"/>
      <c r="Q155" s="2581"/>
      <c r="R155" s="2581"/>
      <c r="S155" s="2581"/>
      <c r="T155" s="2581"/>
      <c r="U155" s="2581"/>
      <c r="V155" s="2581"/>
      <c r="W155" s="2581"/>
      <c r="X155" s="2582"/>
      <c r="Y155" s="2582"/>
      <c r="Z155" s="2582"/>
      <c r="AA155" s="2582"/>
      <c r="AB155" s="2582"/>
      <c r="AC155" s="2581"/>
      <c r="AD155" s="2583"/>
      <c r="AE155" s="2584"/>
      <c r="AF155" s="2581"/>
      <c r="AG155" s="2581"/>
      <c r="AH155" s="2585"/>
    </row>
    <row r="156" spans="1:34" s="2586" customFormat="1" ht="24" customHeight="1">
      <c r="A156" s="2566"/>
      <c r="B156" s="2566"/>
      <c r="C156" s="2567"/>
      <c r="D156" s="2598"/>
      <c r="E156" s="2569"/>
      <c r="F156" s="2570"/>
      <c r="G156" s="2571"/>
      <c r="H156" s="2572"/>
      <c r="I156" s="2573" t="str">
        <f t="shared" si="6"/>
        <v/>
      </c>
      <c r="J156" s="2574"/>
      <c r="K156" s="2575"/>
      <c r="L156" s="2576"/>
      <c r="M156" s="2577"/>
      <c r="N156" s="2578"/>
      <c r="O156" s="2579"/>
      <c r="P156" s="2580"/>
      <c r="Q156" s="2581"/>
      <c r="R156" s="2581"/>
      <c r="S156" s="2581"/>
      <c r="T156" s="2581"/>
      <c r="U156" s="2581"/>
      <c r="V156" s="2581"/>
      <c r="W156" s="2581"/>
      <c r="X156" s="2582"/>
      <c r="Y156" s="2582"/>
      <c r="Z156" s="2582"/>
      <c r="AA156" s="2582"/>
      <c r="AB156" s="2582"/>
      <c r="AC156" s="2581"/>
      <c r="AD156" s="2583"/>
      <c r="AE156" s="2584"/>
      <c r="AF156" s="2581"/>
      <c r="AG156" s="2581"/>
      <c r="AH156" s="2585"/>
    </row>
    <row r="157" spans="1:34" s="2586" customFormat="1" ht="24" customHeight="1">
      <c r="A157" s="2566"/>
      <c r="B157" s="2566"/>
      <c r="C157" s="2567"/>
      <c r="D157" s="2598"/>
      <c r="E157" s="2569"/>
      <c r="F157" s="2570"/>
      <c r="G157" s="2571"/>
      <c r="H157" s="2572"/>
      <c r="I157" s="2573" t="str">
        <f t="shared" si="6"/>
        <v/>
      </c>
      <c r="J157" s="2574"/>
      <c r="K157" s="2575"/>
      <c r="L157" s="2576"/>
      <c r="M157" s="2577"/>
      <c r="N157" s="2578"/>
      <c r="O157" s="2579"/>
      <c r="P157" s="2580"/>
      <c r="Q157" s="2581"/>
      <c r="R157" s="2581"/>
      <c r="S157" s="2581"/>
      <c r="T157" s="2581"/>
      <c r="U157" s="2581"/>
      <c r="V157" s="2581"/>
      <c r="W157" s="2581"/>
      <c r="X157" s="2582"/>
      <c r="Y157" s="2582"/>
      <c r="Z157" s="2582"/>
      <c r="AA157" s="2582"/>
      <c r="AB157" s="2582"/>
      <c r="AC157" s="2581"/>
      <c r="AD157" s="2583"/>
      <c r="AE157" s="2584"/>
      <c r="AF157" s="2581"/>
      <c r="AG157" s="2581"/>
      <c r="AH157" s="2585"/>
    </row>
    <row r="158" spans="1:34" s="2586" customFormat="1" ht="24" customHeight="1">
      <c r="A158" s="2566"/>
      <c r="B158" s="2566"/>
      <c r="C158" s="2567"/>
      <c r="D158" s="2598"/>
      <c r="E158" s="2569"/>
      <c r="F158" s="2570"/>
      <c r="G158" s="2571"/>
      <c r="H158" s="2572"/>
      <c r="I158" s="2573" t="str">
        <f t="shared" si="6"/>
        <v/>
      </c>
      <c r="J158" s="2574"/>
      <c r="K158" s="2575"/>
      <c r="L158" s="2576"/>
      <c r="M158" s="2577"/>
      <c r="N158" s="2578"/>
      <c r="O158" s="2579"/>
      <c r="P158" s="2580"/>
      <c r="Q158" s="2581"/>
      <c r="R158" s="2581"/>
      <c r="S158" s="2581"/>
      <c r="T158" s="2581"/>
      <c r="U158" s="2581"/>
      <c r="V158" s="2581"/>
      <c r="W158" s="2581"/>
      <c r="X158" s="2582"/>
      <c r="Y158" s="2582"/>
      <c r="Z158" s="2582"/>
      <c r="AA158" s="2582"/>
      <c r="AB158" s="2582"/>
      <c r="AC158" s="2581"/>
      <c r="AD158" s="2583"/>
      <c r="AE158" s="2584"/>
      <c r="AF158" s="2581"/>
      <c r="AG158" s="2581"/>
      <c r="AH158" s="2585"/>
    </row>
    <row r="159" spans="1:34" s="39" customFormat="1" ht="24" customHeight="1">
      <c r="A159" s="38"/>
      <c r="B159" s="38"/>
      <c r="C159" s="124"/>
      <c r="D159" s="125"/>
      <c r="E159" s="114"/>
      <c r="F159" s="274"/>
      <c r="G159" s="115"/>
      <c r="H159" s="131"/>
      <c r="I159" s="101" t="str">
        <f t="shared" si="6"/>
        <v/>
      </c>
      <c r="J159" s="64"/>
      <c r="K159" s="65"/>
      <c r="L159" s="66"/>
      <c r="M159" s="525"/>
      <c r="N159" s="520"/>
      <c r="O159" s="227"/>
      <c r="P159" s="228"/>
      <c r="Q159" s="229"/>
      <c r="R159" s="229"/>
      <c r="S159" s="229"/>
      <c r="T159" s="229"/>
      <c r="U159" s="229"/>
      <c r="V159" s="229"/>
      <c r="W159" s="229"/>
      <c r="X159" s="230"/>
      <c r="Y159" s="230"/>
      <c r="Z159" s="230"/>
      <c r="AA159" s="230"/>
      <c r="AB159" s="230"/>
      <c r="AC159" s="229"/>
      <c r="AD159" s="461"/>
      <c r="AE159" s="462"/>
      <c r="AF159" s="229"/>
      <c r="AG159" s="229"/>
      <c r="AH159" s="213"/>
    </row>
    <row r="160" spans="1:34" s="39" customFormat="1" ht="24" customHeight="1">
      <c r="A160" s="38"/>
      <c r="B160" s="38"/>
      <c r="C160" s="124"/>
      <c r="D160" s="125"/>
      <c r="E160" s="114"/>
      <c r="F160" s="274"/>
      <c r="G160" s="115"/>
      <c r="H160" s="131"/>
      <c r="I160" s="101" t="str">
        <f t="shared" si="6"/>
        <v/>
      </c>
      <c r="J160" s="64"/>
      <c r="K160" s="65"/>
      <c r="L160" s="66"/>
      <c r="M160" s="525"/>
      <c r="N160" s="520"/>
      <c r="O160" s="227"/>
      <c r="P160" s="228"/>
      <c r="Q160" s="229"/>
      <c r="R160" s="229"/>
      <c r="S160" s="229"/>
      <c r="T160" s="229"/>
      <c r="U160" s="229"/>
      <c r="V160" s="229"/>
      <c r="W160" s="229"/>
      <c r="X160" s="230"/>
      <c r="Y160" s="230"/>
      <c r="Z160" s="230"/>
      <c r="AA160" s="230"/>
      <c r="AB160" s="230"/>
      <c r="AC160" s="229"/>
      <c r="AD160" s="461"/>
      <c r="AE160" s="462"/>
      <c r="AF160" s="229"/>
      <c r="AG160" s="229"/>
      <c r="AH160" s="213"/>
    </row>
    <row r="161" spans="1:34" s="39" customFormat="1" ht="24" customHeight="1">
      <c r="A161" s="38"/>
      <c r="B161" s="38"/>
      <c r="C161" s="124"/>
      <c r="D161" s="125"/>
      <c r="E161" s="114"/>
      <c r="F161" s="274"/>
      <c r="G161" s="115"/>
      <c r="H161" s="131"/>
      <c r="I161" s="101" t="str">
        <f t="shared" si="6"/>
        <v/>
      </c>
      <c r="J161" s="64"/>
      <c r="K161" s="65"/>
      <c r="L161" s="66"/>
      <c r="M161" s="525"/>
      <c r="N161" s="520"/>
      <c r="O161" s="227"/>
      <c r="P161" s="228"/>
      <c r="Q161" s="229"/>
      <c r="R161" s="229"/>
      <c r="S161" s="229"/>
      <c r="T161" s="229"/>
      <c r="U161" s="229"/>
      <c r="V161" s="229"/>
      <c r="W161" s="229"/>
      <c r="X161" s="230"/>
      <c r="Y161" s="230"/>
      <c r="Z161" s="230"/>
      <c r="AA161" s="230"/>
      <c r="AB161" s="230"/>
      <c r="AC161" s="229"/>
      <c r="AD161" s="461"/>
      <c r="AE161" s="462"/>
      <c r="AF161" s="229"/>
      <c r="AG161" s="229"/>
      <c r="AH161" s="213"/>
    </row>
    <row r="162" spans="1:34" ht="24" customHeight="1" thickBot="1">
      <c r="A162" s="38"/>
      <c r="B162" s="38"/>
      <c r="C162" s="103"/>
      <c r="D162" s="92" t="s">
        <v>8</v>
      </c>
      <c r="E162" s="104"/>
      <c r="F162" s="275"/>
      <c r="G162" s="118"/>
      <c r="H162" s="127" t="s">
        <v>70</v>
      </c>
      <c r="I162" s="105">
        <f>SUM(I144:I161)</f>
        <v>578709</v>
      </c>
      <c r="J162" s="822" t="str">
        <f>IF(C143="部分撤去工事","）うち費用",")")</f>
        <v>）うち費用</v>
      </c>
      <c r="K162" s="821">
        <f>IF(C143="部分撤去工事",(K139+L162),0)</f>
        <v>578709</v>
      </c>
      <c r="L162" s="820">
        <f>IF(C143="部分撤去工事",SUMIF(N144:N161,"費用",I144:I161),0)</f>
        <v>578709</v>
      </c>
      <c r="M162" s="526"/>
      <c r="N162" s="527"/>
      <c r="O162" s="227"/>
      <c r="P162" s="228"/>
      <c r="Q162" s="229"/>
      <c r="R162" s="229"/>
      <c r="S162" s="229"/>
      <c r="T162" s="229"/>
      <c r="U162" s="229"/>
      <c r="V162" s="229"/>
      <c r="W162" s="229"/>
      <c r="X162" s="230"/>
      <c r="Y162" s="230"/>
      <c r="Z162" s="230"/>
      <c r="AA162" s="230"/>
      <c r="AB162" s="230"/>
      <c r="AC162" s="229"/>
      <c r="AD162" s="461"/>
      <c r="AE162" s="462"/>
      <c r="AF162" s="229"/>
      <c r="AG162" s="229"/>
      <c r="AH162" s="463"/>
    </row>
    <row r="163" spans="1:34" ht="14.25" customHeight="1">
      <c r="E163" s="120" t="s">
        <v>86</v>
      </c>
      <c r="F163" s="121">
        <f>+F140+1</f>
        <v>26</v>
      </c>
      <c r="G163" s="122" t="s">
        <v>49</v>
      </c>
      <c r="H163" s="123">
        <f>+H140</f>
        <v>35</v>
      </c>
      <c r="I163" s="123"/>
      <c r="M163" s="33" t="str">
        <f>IF(A165="","EOL","")</f>
        <v>EOL</v>
      </c>
      <c r="N163" s="1">
        <f>+F163</f>
        <v>26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  <row r="164" spans="1:34" ht="26.25" customHeight="1">
      <c r="O164" s="226"/>
      <c r="P164" s="226"/>
      <c r="Q164" s="226"/>
      <c r="R164" s="226"/>
      <c r="S164" s="226"/>
      <c r="T164" s="226"/>
      <c r="U164" s="226"/>
      <c r="V164" s="226"/>
      <c r="W164" s="226"/>
      <c r="X164" s="226"/>
      <c r="Y164" s="226"/>
      <c r="Z164" s="226"/>
      <c r="AA164" s="226"/>
    </row>
    <row r="165" spans="1:34" ht="26.25" customHeight="1">
      <c r="O165" s="221"/>
      <c r="P165" s="221"/>
      <c r="Q165" s="222"/>
      <c r="R165" s="223"/>
      <c r="S165" s="224"/>
      <c r="T165" s="224"/>
      <c r="U165" s="222"/>
      <c r="V165" s="222"/>
      <c r="W165" s="224"/>
      <c r="X165" s="221"/>
      <c r="Y165" s="221"/>
      <c r="Z165" s="221"/>
      <c r="AA165" s="221"/>
    </row>
    <row r="166" spans="1:34" ht="26.25" customHeight="1">
      <c r="O166" s="225"/>
      <c r="P166" s="225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</row>
    <row r="167" spans="1:34" ht="26.25" customHeight="1">
      <c r="O167" s="225"/>
      <c r="P167" s="225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</row>
    <row r="168" spans="1:34" ht="26.25" customHeight="1">
      <c r="O168" s="225"/>
      <c r="P168" s="225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</row>
    <row r="169" spans="1:34" ht="26.25" customHeight="1">
      <c r="O169" s="225"/>
      <c r="P169" s="225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</row>
    <row r="170" spans="1:34" ht="26.25" customHeight="1">
      <c r="O170" s="225"/>
      <c r="P170" s="225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</row>
    <row r="171" spans="1:34" ht="26.25" customHeight="1">
      <c r="O171" s="225"/>
      <c r="P171" s="225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</row>
    <row r="172" spans="1:34" ht="26.25" customHeight="1">
      <c r="O172" s="225"/>
      <c r="P172" s="225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</row>
    <row r="173" spans="1:34" ht="26.25" customHeight="1">
      <c r="O173" s="225"/>
      <c r="P173" s="225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</row>
    <row r="174" spans="1:34" ht="26.25" customHeight="1">
      <c r="O174" s="225"/>
      <c r="P174" s="225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</row>
    <row r="175" spans="1:34" ht="26.25" customHeight="1">
      <c r="O175" s="225"/>
      <c r="P175" s="225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</row>
    <row r="176" spans="1:34" ht="26.25" customHeight="1">
      <c r="O176" s="225"/>
      <c r="P176" s="225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</row>
    <row r="177" spans="15:27" ht="26.25" customHeight="1">
      <c r="O177" s="225"/>
      <c r="P177" s="225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</row>
    <row r="178" spans="15:27" ht="26.25" customHeight="1">
      <c r="O178" s="225"/>
      <c r="P178" s="225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</row>
    <row r="179" spans="15:27" ht="26.25" customHeight="1">
      <c r="O179" s="225"/>
      <c r="P179" s="225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</row>
    <row r="180" spans="15:27" ht="26.25" customHeight="1">
      <c r="O180" s="225"/>
      <c r="P180" s="225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</row>
    <row r="181" spans="15:27" ht="26.25" customHeight="1">
      <c r="O181" s="225"/>
      <c r="P181" s="225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</row>
    <row r="182" spans="15:27" ht="26.25" customHeight="1">
      <c r="O182" s="225"/>
      <c r="P182" s="225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</row>
    <row r="183" spans="15:27" ht="26.25" customHeight="1">
      <c r="O183" s="225"/>
      <c r="P183" s="225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</row>
    <row r="184" spans="15:27" ht="26.25" customHeight="1">
      <c r="O184" s="225"/>
      <c r="P184" s="225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</row>
    <row r="185" spans="15:27" ht="26.25" customHeight="1">
      <c r="O185" s="225"/>
      <c r="P185" s="225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</row>
    <row r="186" spans="15:27" ht="26.25" customHeight="1">
      <c r="O186" s="1"/>
      <c r="P186" s="1"/>
    </row>
  </sheetData>
  <mergeCells count="28">
    <mergeCell ref="J142:L142"/>
    <mergeCell ref="J143:L143"/>
    <mergeCell ref="J97:L97"/>
    <mergeCell ref="C118:L118"/>
    <mergeCell ref="O118:AH118"/>
    <mergeCell ref="J119:L119"/>
    <mergeCell ref="J120:L120"/>
    <mergeCell ref="C95:L95"/>
    <mergeCell ref="O95:AH95"/>
    <mergeCell ref="J96:L96"/>
    <mergeCell ref="C141:L141"/>
    <mergeCell ref="O141:AH141"/>
    <mergeCell ref="J51:L51"/>
    <mergeCell ref="C72:L72"/>
    <mergeCell ref="O72:AH72"/>
    <mergeCell ref="J73:L73"/>
    <mergeCell ref="J74:L74"/>
    <mergeCell ref="J27:L27"/>
    <mergeCell ref="J28:L28"/>
    <mergeCell ref="C49:L49"/>
    <mergeCell ref="O49:AH49"/>
    <mergeCell ref="J50:L50"/>
    <mergeCell ref="C3:L3"/>
    <mergeCell ref="O3:AG3"/>
    <mergeCell ref="J4:L4"/>
    <mergeCell ref="J5:L5"/>
    <mergeCell ref="C26:L26"/>
    <mergeCell ref="O26:AG26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 N144:N161" xr:uid="{00000000-0002-0000-0C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FFC000"/>
  </sheetPr>
  <dimension ref="A2:AI163"/>
  <sheetViews>
    <sheetView zoomScale="75" zoomScaleNormal="75" workbookViewId="0">
      <selection activeCell="L13" sqref="L1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3418</v>
      </c>
      <c r="E2" s="36" t="s">
        <v>50</v>
      </c>
      <c r="F2" s="39">
        <f>工事4!J2</f>
        <v>26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33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イ)6号線堺筋本町駅の部-床仕上改造その他工事-建築工事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3130</v>
      </c>
      <c r="E7" s="99"/>
      <c r="F7" s="274">
        <v>1</v>
      </c>
      <c r="G7" s="115" t="s">
        <v>7</v>
      </c>
      <c r="H7" s="101"/>
      <c r="I7" s="101">
        <f>I70</f>
        <v>150480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2495</v>
      </c>
      <c r="E8" s="99"/>
      <c r="F8" s="274">
        <v>1</v>
      </c>
      <c r="G8" s="115" t="s">
        <v>7</v>
      </c>
      <c r="H8" s="101"/>
      <c r="I8" s="101">
        <f>I116</f>
        <v>5913920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 t="s">
        <v>3134</v>
      </c>
      <c r="E9" s="99"/>
      <c r="F9" s="274">
        <v>1</v>
      </c>
      <c r="G9" s="115" t="s">
        <v>7</v>
      </c>
      <c r="H9" s="101"/>
      <c r="I9" s="101">
        <f>I139</f>
        <v>20548</v>
      </c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 t="s">
        <v>3031</v>
      </c>
      <c r="E10" s="99"/>
      <c r="F10" s="274">
        <v>1</v>
      </c>
      <c r="G10" s="115" t="s">
        <v>7</v>
      </c>
      <c r="H10" s="101"/>
      <c r="I10" s="101">
        <f>I162</f>
        <v>196612</v>
      </c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6281560</v>
      </c>
      <c r="J16" s="818" t="str">
        <f>IF(COUNTIF(N:N,"費用")=0,"","うち費用")</f>
        <v>うち費用</v>
      </c>
      <c r="K16" s="819">
        <f>IF(COUNTIF(N:N,"費用")=0,"",SUMIF(N:N,"費用",I:I))</f>
        <v>196612</v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1278994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f>+変更諸経費表!N66</f>
        <v>657728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+変更諸経費表!N74</f>
        <v>786068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2722790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9004350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+変更諸経費表!N79</f>
        <v>6696000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27</v>
      </c>
      <c r="G25" s="122" t="s">
        <v>49</v>
      </c>
      <c r="H25" s="123">
        <f>H2</f>
        <v>35</v>
      </c>
      <c r="M25" s="40" t="str">
        <f>IF(A27="","EOL","")</f>
        <v/>
      </c>
      <c r="N25" s="1">
        <f>+F25</f>
        <v>27</v>
      </c>
    </row>
    <row r="26" spans="1:35" ht="26.25" customHeight="1" thickBot="1">
      <c r="C26" s="2822" t="s">
        <v>319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30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5" t="s">
        <v>6</v>
      </c>
      <c r="K27" s="2826"/>
      <c r="L27" s="2827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19"/>
      <c r="K28" s="2820"/>
      <c r="L28" s="2821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+変更諸経費表!N21</f>
        <v>183439</v>
      </c>
      <c r="I30" s="101">
        <f t="shared" si="0"/>
        <v>183439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183439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>
        <f>+[3]警備員費按分表!$X$10</f>
        <v>1095555</v>
      </c>
      <c r="I42" s="101">
        <f t="shared" si="0"/>
        <v>1095555</v>
      </c>
      <c r="J42" s="65" t="s">
        <v>3406</v>
      </c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1095555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1278994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28</v>
      </c>
      <c r="G48" s="122" t="s">
        <v>49</v>
      </c>
      <c r="H48" s="123">
        <f>+$H$25</f>
        <v>35</v>
      </c>
      <c r="I48" s="123"/>
      <c r="M48" s="816" t="str">
        <f>IF(A50="","EOL","")</f>
        <v/>
      </c>
      <c r="N48" s="1">
        <f>+F48</f>
        <v>28</v>
      </c>
      <c r="O48" s="1"/>
      <c r="P48" s="1"/>
    </row>
    <row r="49" spans="1:34" ht="26.25" customHeight="1" thickBot="1">
      <c r="C49" s="2822" t="s">
        <v>319</v>
      </c>
      <c r="D49" s="2822"/>
      <c r="E49" s="2822"/>
      <c r="F49" s="2822"/>
      <c r="G49" s="2822"/>
      <c r="H49" s="2822"/>
      <c r="I49" s="2822"/>
      <c r="J49" s="2822"/>
      <c r="K49" s="2822"/>
      <c r="L49" s="2822"/>
      <c r="O49" s="2828" t="s">
        <v>132</v>
      </c>
      <c r="P49" s="2829"/>
      <c r="Q49" s="2829"/>
      <c r="R49" s="2829"/>
      <c r="S49" s="2829"/>
      <c r="T49" s="2829"/>
      <c r="U49" s="2829"/>
      <c r="V49" s="2829"/>
      <c r="W49" s="2829"/>
      <c r="X49" s="2829"/>
      <c r="Y49" s="2829"/>
      <c r="Z49" s="2829"/>
      <c r="AA49" s="2829"/>
      <c r="AB49" s="2829"/>
      <c r="AC49" s="2829"/>
      <c r="AD49" s="2829"/>
      <c r="AE49" s="2829"/>
      <c r="AF49" s="2829"/>
      <c r="AG49" s="2830"/>
    </row>
    <row r="50" spans="1:34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5" t="s">
        <v>6</v>
      </c>
      <c r="K50" s="2826"/>
      <c r="L50" s="2827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4" ht="24" customHeight="1">
      <c r="A51" s="38"/>
      <c r="B51" s="38"/>
      <c r="C51" s="128" t="s">
        <v>3131</v>
      </c>
      <c r="D51" s="96"/>
      <c r="E51" s="97"/>
      <c r="F51" s="273"/>
      <c r="G51" s="132"/>
      <c r="H51" s="91" t="s">
        <v>11</v>
      </c>
      <c r="I51" s="91" t="s">
        <v>11</v>
      </c>
      <c r="J51" s="2819"/>
      <c r="K51" s="2820"/>
      <c r="L51" s="2821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4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4" s="2586" customFormat="1" ht="24" customHeight="1">
      <c r="A53" s="2566">
        <v>4</v>
      </c>
      <c r="B53" s="2566">
        <v>4</v>
      </c>
      <c r="C53" s="2567"/>
      <c r="D53" s="2568" t="s">
        <v>3132</v>
      </c>
      <c r="E53" s="2569" t="s">
        <v>3133</v>
      </c>
      <c r="F53" s="2570">
        <v>4.4000000000000004</v>
      </c>
      <c r="G53" s="2571" t="s">
        <v>3057</v>
      </c>
      <c r="H53" s="2572">
        <v>34200</v>
      </c>
      <c r="I53" s="2573">
        <f t="shared" ref="I53:I56" si="1">IF(F53="","",INT(F53*H53))</f>
        <v>150480</v>
      </c>
      <c r="J53" s="2574" t="s">
        <v>3342</v>
      </c>
      <c r="K53" s="2575"/>
      <c r="L53" s="2576"/>
      <c r="M53" s="2577"/>
      <c r="N53" s="2578"/>
      <c r="O53" s="2579">
        <v>77</v>
      </c>
      <c r="P53" s="2580"/>
      <c r="Q53" s="2581"/>
      <c r="R53" s="2581"/>
      <c r="S53" s="2581"/>
      <c r="T53" s="2581"/>
      <c r="U53" s="2581"/>
      <c r="V53" s="2581"/>
      <c r="W53" s="2581"/>
      <c r="X53" s="2582"/>
      <c r="Y53" s="2582"/>
      <c r="Z53" s="2582"/>
      <c r="AA53" s="2582"/>
      <c r="AB53" s="2582"/>
      <c r="AC53" s="2581"/>
      <c r="AD53" s="2583"/>
      <c r="AE53" s="2584"/>
      <c r="AF53" s="2581"/>
      <c r="AG53" s="2581"/>
      <c r="AH53" s="2585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1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1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1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ref="I57:I69" si="2">IF(F57="","",INT(F57*H57))</f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4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2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4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2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4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2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4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2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4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2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4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2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4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2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4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2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4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2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4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2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4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2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4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2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150480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4" ht="14.25" customHeight="1">
      <c r="E71" s="120" t="s">
        <v>86</v>
      </c>
      <c r="F71" s="121">
        <f>+F48+1</f>
        <v>29</v>
      </c>
      <c r="G71" s="122" t="s">
        <v>87</v>
      </c>
      <c r="H71" s="123">
        <f>+H48</f>
        <v>35</v>
      </c>
      <c r="I71" s="123"/>
      <c r="M71" s="33" t="str">
        <f>IF(A73="","EOL","")</f>
        <v/>
      </c>
      <c r="N71" s="1">
        <f>+F71</f>
        <v>29</v>
      </c>
      <c r="O71" s="1"/>
      <c r="P71" s="1"/>
    </row>
    <row r="72" spans="1:34" ht="26.25" customHeight="1" thickBot="1">
      <c r="C72" s="2822" t="s">
        <v>320</v>
      </c>
      <c r="D72" s="2822"/>
      <c r="E72" s="2822"/>
      <c r="F72" s="2822"/>
      <c r="G72" s="2822"/>
      <c r="H72" s="2822"/>
      <c r="I72" s="2822"/>
      <c r="J72" s="2822"/>
      <c r="K72" s="2822"/>
      <c r="L72" s="2822"/>
      <c r="O72" s="2823" t="s">
        <v>132</v>
      </c>
      <c r="P72" s="2823"/>
      <c r="Q72" s="2823"/>
      <c r="R72" s="2823"/>
      <c r="S72" s="2823"/>
      <c r="T72" s="2823"/>
      <c r="U72" s="2823"/>
      <c r="V72" s="2823"/>
      <c r="W72" s="2823"/>
      <c r="X72" s="2823"/>
      <c r="Y72" s="2823"/>
      <c r="Z72" s="2823"/>
      <c r="AA72" s="2823"/>
      <c r="AB72" s="2823"/>
      <c r="AC72" s="2823"/>
      <c r="AD72" s="2823"/>
      <c r="AE72" s="2823"/>
      <c r="AF72" s="2823"/>
      <c r="AG72" s="2823"/>
      <c r="AH72" s="2824"/>
    </row>
    <row r="73" spans="1:34" ht="41.25" customHeight="1">
      <c r="A73" s="5" t="s">
        <v>12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825" t="s">
        <v>6</v>
      </c>
      <c r="K73" s="2826"/>
      <c r="L73" s="2827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2495</v>
      </c>
      <c r="D74" s="129"/>
      <c r="E74" s="130"/>
      <c r="F74" s="273"/>
      <c r="G74" s="98"/>
      <c r="H74" s="90" t="s">
        <v>11</v>
      </c>
      <c r="I74" s="90" t="s">
        <v>11</v>
      </c>
      <c r="J74" s="2819"/>
      <c r="K74" s="2820"/>
      <c r="L74" s="2821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3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/>
      <c r="B76" s="38"/>
      <c r="C76" s="124"/>
      <c r="D76" s="785"/>
      <c r="E76" s="114"/>
      <c r="F76" s="274"/>
      <c r="G76" s="115"/>
      <c r="H76" s="131"/>
      <c r="I76" s="101"/>
      <c r="J76" s="64"/>
      <c r="K76" s="65"/>
      <c r="L76" s="66"/>
      <c r="M76" s="525"/>
      <c r="N76" s="520"/>
      <c r="O76" s="227"/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/>
      <c r="E77" s="114"/>
      <c r="F77" s="274"/>
      <c r="G77" s="115"/>
      <c r="H77" s="131"/>
      <c r="I77" s="101" t="str">
        <f t="shared" si="3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2586" customFormat="1" ht="24" customHeight="1">
      <c r="A78" s="2566">
        <v>4</v>
      </c>
      <c r="B78" s="2566">
        <v>4</v>
      </c>
      <c r="C78" s="2567">
        <v>202</v>
      </c>
      <c r="D78" s="2568" t="s">
        <v>3283</v>
      </c>
      <c r="E78" s="2569" t="s">
        <v>3384</v>
      </c>
      <c r="F78" s="2570">
        <v>14</v>
      </c>
      <c r="G78" s="2571" t="s">
        <v>3385</v>
      </c>
      <c r="H78" s="2572">
        <f>見積比較!O$95</f>
        <v>270000</v>
      </c>
      <c r="I78" s="101">
        <f>IF(F78="","",INT(F78*H78))</f>
        <v>3780000</v>
      </c>
      <c r="J78" s="2574" t="s">
        <v>3386</v>
      </c>
      <c r="K78" s="2575"/>
      <c r="L78" s="2576"/>
      <c r="M78" s="2577"/>
      <c r="N78" s="2578"/>
      <c r="O78" s="2579">
        <v>0</v>
      </c>
      <c r="P78" s="2580"/>
      <c r="Q78" s="2581"/>
      <c r="R78" s="2581"/>
      <c r="S78" s="2581"/>
      <c r="T78" s="2581"/>
      <c r="U78" s="2581"/>
      <c r="V78" s="2581"/>
      <c r="W78" s="2581"/>
      <c r="X78" s="2582"/>
      <c r="Y78" s="2582"/>
      <c r="Z78" s="2582"/>
      <c r="AA78" s="2582"/>
      <c r="AB78" s="2582"/>
      <c r="AC78" s="2581"/>
      <c r="AD78" s="2583"/>
      <c r="AE78" s="2584"/>
      <c r="AF78" s="2581"/>
      <c r="AG78" s="2581"/>
      <c r="AH78" s="2585"/>
    </row>
    <row r="79" spans="1:34" s="2586" customFormat="1" ht="24" customHeight="1">
      <c r="A79" s="2566"/>
      <c r="B79" s="2566"/>
      <c r="C79" s="2567"/>
      <c r="D79" s="2598" t="str">
        <f>+見積類似!L36</f>
        <v>鼻先ｽﾃﾝﾚｽプレート</v>
      </c>
      <c r="E79" s="2569" t="str">
        <f>+見積類似!M36</f>
        <v>4-M10　タップネジ切</v>
      </c>
      <c r="F79" s="2570"/>
      <c r="G79" s="2571"/>
      <c r="H79" s="2572"/>
      <c r="I79" s="2573" t="str">
        <f t="shared" ref="I79:I85" si="4">IF(F79="","",INT(F79*H79))</f>
        <v/>
      </c>
      <c r="J79" s="2574"/>
      <c r="K79" s="2575"/>
      <c r="L79" s="2576"/>
      <c r="M79" s="2577"/>
      <c r="N79" s="2578"/>
      <c r="O79" s="2579"/>
      <c r="P79" s="2580"/>
      <c r="Q79" s="2581"/>
      <c r="R79" s="2581"/>
      <c r="S79" s="2581"/>
      <c r="T79" s="2581"/>
      <c r="U79" s="2581"/>
      <c r="V79" s="2581"/>
      <c r="W79" s="2581"/>
      <c r="X79" s="2582"/>
      <c r="Y79" s="2582"/>
      <c r="Z79" s="2582"/>
      <c r="AA79" s="2582"/>
      <c r="AB79" s="2582"/>
      <c r="AC79" s="2581"/>
      <c r="AD79" s="2583"/>
      <c r="AE79" s="2584"/>
      <c r="AF79" s="2581"/>
      <c r="AG79" s="2581"/>
      <c r="AH79" s="2585"/>
    </row>
    <row r="80" spans="1:34" s="2586" customFormat="1" ht="24" customHeight="1">
      <c r="A80" s="2566"/>
      <c r="B80" s="2566"/>
      <c r="C80" s="2567"/>
      <c r="D80" s="2598"/>
      <c r="E80" s="2569" t="str">
        <f>+見積類似!M37</f>
        <v>SUS-50×50×4　L=40　4カ所</v>
      </c>
      <c r="F80" s="2570"/>
      <c r="G80" s="2571"/>
      <c r="H80" s="2572"/>
      <c r="I80" s="2573" t="str">
        <f t="shared" si="4"/>
        <v/>
      </c>
      <c r="J80" s="2574"/>
      <c r="K80" s="2575"/>
      <c r="L80" s="2576"/>
      <c r="M80" s="2577"/>
      <c r="N80" s="2578"/>
      <c r="O80" s="2579"/>
      <c r="P80" s="2580"/>
      <c r="Q80" s="2581"/>
      <c r="R80" s="2581"/>
      <c r="S80" s="2581"/>
      <c r="T80" s="2581"/>
      <c r="U80" s="2581"/>
      <c r="V80" s="2581"/>
      <c r="W80" s="2581"/>
      <c r="X80" s="2582"/>
      <c r="Y80" s="2582"/>
      <c r="Z80" s="2582"/>
      <c r="AA80" s="2582"/>
      <c r="AB80" s="2582"/>
      <c r="AC80" s="2581"/>
      <c r="AD80" s="2583"/>
      <c r="AE80" s="2584"/>
      <c r="AF80" s="2581"/>
      <c r="AG80" s="2581"/>
      <c r="AH80" s="2585"/>
    </row>
    <row r="81" spans="1:34" s="2586" customFormat="1" ht="24" customHeight="1">
      <c r="A81" s="2566"/>
      <c r="B81" s="2566"/>
      <c r="C81" s="2567"/>
      <c r="D81" s="2598"/>
      <c r="E81" s="2569" t="str">
        <f>+見積類似!M38</f>
        <v>固定ボルトφ12</v>
      </c>
      <c r="F81" s="2570"/>
      <c r="G81" s="2571"/>
      <c r="H81" s="2572"/>
      <c r="I81" s="2573" t="str">
        <f t="shared" si="4"/>
        <v/>
      </c>
      <c r="J81" s="2574"/>
      <c r="K81" s="2575"/>
      <c r="L81" s="2576"/>
      <c r="M81" s="2577"/>
      <c r="N81" s="2578"/>
      <c r="O81" s="2579"/>
      <c r="P81" s="2580"/>
      <c r="Q81" s="2581"/>
      <c r="R81" s="2581"/>
      <c r="S81" s="2581"/>
      <c r="T81" s="2581"/>
      <c r="U81" s="2581"/>
      <c r="V81" s="2581"/>
      <c r="W81" s="2581"/>
      <c r="X81" s="2582"/>
      <c r="Y81" s="2582"/>
      <c r="Z81" s="2582"/>
      <c r="AA81" s="2582"/>
      <c r="AB81" s="2582"/>
      <c r="AC81" s="2581"/>
      <c r="AD81" s="2583"/>
      <c r="AE81" s="2584"/>
      <c r="AF81" s="2581"/>
      <c r="AG81" s="2581"/>
      <c r="AH81" s="2585"/>
    </row>
    <row r="82" spans="1:34" s="2586" customFormat="1" ht="24" customHeight="1">
      <c r="A82" s="2566"/>
      <c r="B82" s="2566"/>
      <c r="C82" s="2567"/>
      <c r="D82" s="2598"/>
      <c r="E82" s="2569" t="str">
        <f>+見積類似!M39</f>
        <v>SUS-30×30×3　L=475　4カ所</v>
      </c>
      <c r="F82" s="2570"/>
      <c r="G82" s="2571"/>
      <c r="H82" s="2572"/>
      <c r="I82" s="2573" t="str">
        <f t="shared" si="4"/>
        <v/>
      </c>
      <c r="J82" s="2574"/>
      <c r="K82" s="2575"/>
      <c r="L82" s="2576"/>
      <c r="M82" s="2577"/>
      <c r="N82" s="2578"/>
      <c r="O82" s="2579"/>
      <c r="P82" s="2580"/>
      <c r="Q82" s="2581"/>
      <c r="R82" s="2581"/>
      <c r="S82" s="2581"/>
      <c r="T82" s="2581"/>
      <c r="U82" s="2581"/>
      <c r="V82" s="2581"/>
      <c r="W82" s="2581"/>
      <c r="X82" s="2582"/>
      <c r="Y82" s="2582"/>
      <c r="Z82" s="2582"/>
      <c r="AA82" s="2582"/>
      <c r="AB82" s="2582"/>
      <c r="AC82" s="2581"/>
      <c r="AD82" s="2583"/>
      <c r="AE82" s="2584"/>
      <c r="AF82" s="2581"/>
      <c r="AG82" s="2581"/>
      <c r="AH82" s="2585"/>
    </row>
    <row r="83" spans="1:34" s="2586" customFormat="1" ht="24" customHeight="1">
      <c r="A83" s="2566"/>
      <c r="B83" s="2566"/>
      <c r="C83" s="2567"/>
      <c r="D83" s="2598"/>
      <c r="E83" s="2569" t="str">
        <f>+見積類似!M40</f>
        <v>固定アンカー2-φ12</v>
      </c>
      <c r="F83" s="2570"/>
      <c r="G83" s="2571"/>
      <c r="H83" s="2572"/>
      <c r="I83" s="2573" t="str">
        <f t="shared" si="4"/>
        <v/>
      </c>
      <c r="J83" s="2574"/>
      <c r="K83" s="2575"/>
      <c r="L83" s="2576"/>
      <c r="M83" s="2577"/>
      <c r="N83" s="2578"/>
      <c r="O83" s="2579"/>
      <c r="P83" s="2580"/>
      <c r="Q83" s="2581"/>
      <c r="R83" s="2581"/>
      <c r="S83" s="2581"/>
      <c r="T83" s="2581"/>
      <c r="U83" s="2581"/>
      <c r="V83" s="2581"/>
      <c r="W83" s="2581"/>
      <c r="X83" s="2582"/>
      <c r="Y83" s="2582"/>
      <c r="Z83" s="2582"/>
      <c r="AA83" s="2582"/>
      <c r="AB83" s="2582"/>
      <c r="AC83" s="2581"/>
      <c r="AD83" s="2583"/>
      <c r="AE83" s="2584"/>
      <c r="AF83" s="2581"/>
      <c r="AG83" s="2581"/>
      <c r="AH83" s="2585"/>
    </row>
    <row r="84" spans="1:34" s="2586" customFormat="1" ht="24" customHeight="1">
      <c r="A84" s="2566"/>
      <c r="B84" s="2566"/>
      <c r="C84" s="2567"/>
      <c r="D84" s="2598"/>
      <c r="E84" s="2569" t="str">
        <f>+見積類似!M41</f>
        <v>SUSM10　六角ボルト</v>
      </c>
      <c r="F84" s="2570"/>
      <c r="G84" s="2571"/>
      <c r="H84" s="2572"/>
      <c r="I84" s="2573" t="str">
        <f t="shared" si="4"/>
        <v/>
      </c>
      <c r="J84" s="2574"/>
      <c r="K84" s="2575"/>
      <c r="L84" s="2576"/>
      <c r="M84" s="2577"/>
      <c r="N84" s="2578"/>
      <c r="O84" s="2579"/>
      <c r="P84" s="2580"/>
      <c r="Q84" s="2581"/>
      <c r="R84" s="2581"/>
      <c r="S84" s="2581"/>
      <c r="T84" s="2581"/>
      <c r="U84" s="2581"/>
      <c r="V84" s="2581"/>
      <c r="W84" s="2581"/>
      <c r="X84" s="2582"/>
      <c r="Y84" s="2582"/>
      <c r="Z84" s="2582"/>
      <c r="AA84" s="2582"/>
      <c r="AB84" s="2582"/>
      <c r="AC84" s="2581"/>
      <c r="AD84" s="2583"/>
      <c r="AE84" s="2584"/>
      <c r="AF84" s="2581"/>
      <c r="AG84" s="2581"/>
      <c r="AH84" s="2585"/>
    </row>
    <row r="85" spans="1:34" s="2586" customFormat="1" ht="24" customHeight="1">
      <c r="A85" s="2566"/>
      <c r="B85" s="2566"/>
      <c r="C85" s="2567"/>
      <c r="D85" s="2598"/>
      <c r="E85" s="2569" t="str">
        <f>+見積類似!M42</f>
        <v>あと施工ｱﾝｶｰ　2-M10</v>
      </c>
      <c r="F85" s="2570"/>
      <c r="G85" s="2571"/>
      <c r="H85" s="2572"/>
      <c r="I85" s="2573" t="str">
        <f t="shared" si="4"/>
        <v/>
      </c>
      <c r="J85" s="2574"/>
      <c r="K85" s="2575"/>
      <c r="L85" s="2576"/>
      <c r="M85" s="2577"/>
      <c r="N85" s="2578"/>
      <c r="O85" s="2579"/>
      <c r="P85" s="2580"/>
      <c r="Q85" s="2581"/>
      <c r="R85" s="2581"/>
      <c r="S85" s="2581"/>
      <c r="T85" s="2581"/>
      <c r="U85" s="2581"/>
      <c r="V85" s="2581"/>
      <c r="W85" s="2581"/>
      <c r="X85" s="2582"/>
      <c r="Y85" s="2582"/>
      <c r="Z85" s="2582"/>
      <c r="AA85" s="2582"/>
      <c r="AB85" s="2582"/>
      <c r="AC85" s="2581"/>
      <c r="AD85" s="2583"/>
      <c r="AE85" s="2584"/>
      <c r="AF85" s="2581"/>
      <c r="AG85" s="2581"/>
      <c r="AH85" s="2585"/>
    </row>
    <row r="86" spans="1:34" s="2586" customFormat="1" ht="24" customHeight="1">
      <c r="A86" s="2566"/>
      <c r="B86" s="2566"/>
      <c r="C86" s="2567"/>
      <c r="D86" s="2598"/>
      <c r="E86" s="2569"/>
      <c r="F86" s="2570"/>
      <c r="G86" s="2571"/>
      <c r="H86" s="2572"/>
      <c r="I86" s="2573" t="str">
        <f t="shared" si="3"/>
        <v/>
      </c>
      <c r="J86" s="2574"/>
      <c r="K86" s="2575"/>
      <c r="L86" s="2576"/>
      <c r="M86" s="2577"/>
      <c r="N86" s="2578"/>
      <c r="O86" s="2579"/>
      <c r="P86" s="2580"/>
      <c r="Q86" s="2581"/>
      <c r="R86" s="2581"/>
      <c r="S86" s="2581"/>
      <c r="T86" s="2581"/>
      <c r="U86" s="2581"/>
      <c r="V86" s="2581"/>
      <c r="W86" s="2581"/>
      <c r="X86" s="2582"/>
      <c r="Y86" s="2582"/>
      <c r="Z86" s="2582"/>
      <c r="AA86" s="2582"/>
      <c r="AB86" s="2582"/>
      <c r="AC86" s="2581"/>
      <c r="AD86" s="2583"/>
      <c r="AE86" s="2584"/>
      <c r="AF86" s="2581"/>
      <c r="AG86" s="2581"/>
      <c r="AH86" s="2585"/>
    </row>
    <row r="87" spans="1:34" s="2586" customFormat="1" ht="24" customHeight="1">
      <c r="A87" s="2566"/>
      <c r="B87" s="2566"/>
      <c r="C87" s="2567"/>
      <c r="D87" s="2598"/>
      <c r="E87" s="2569"/>
      <c r="F87" s="2570"/>
      <c r="G87" s="2571"/>
      <c r="H87" s="2572"/>
      <c r="I87" s="2573" t="str">
        <f t="shared" si="3"/>
        <v/>
      </c>
      <c r="J87" s="2574"/>
      <c r="K87" s="2575"/>
      <c r="L87" s="2576"/>
      <c r="M87" s="2577"/>
      <c r="N87" s="2578"/>
      <c r="O87" s="2579"/>
      <c r="P87" s="2580"/>
      <c r="Q87" s="2581"/>
      <c r="R87" s="2581"/>
      <c r="S87" s="2581"/>
      <c r="T87" s="2581"/>
      <c r="U87" s="2581"/>
      <c r="V87" s="2581"/>
      <c r="W87" s="2581"/>
      <c r="X87" s="2582"/>
      <c r="Y87" s="2582"/>
      <c r="Z87" s="2582"/>
      <c r="AA87" s="2582"/>
      <c r="AB87" s="2582"/>
      <c r="AC87" s="2581"/>
      <c r="AD87" s="2583"/>
      <c r="AE87" s="2584"/>
      <c r="AF87" s="2581"/>
      <c r="AG87" s="2581"/>
      <c r="AH87" s="2585"/>
    </row>
    <row r="88" spans="1:34" s="39" customFormat="1" ht="24" customHeight="1">
      <c r="A88" s="38"/>
      <c r="B88" s="38"/>
      <c r="C88" s="124"/>
      <c r="D88" s="125"/>
      <c r="E88" s="114"/>
      <c r="F88" s="274"/>
      <c r="G88" s="115"/>
      <c r="H88" s="131"/>
      <c r="I88" s="101" t="str">
        <f t="shared" si="3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/>
      <c r="F89" s="274"/>
      <c r="G89" s="115"/>
      <c r="H89" s="131"/>
      <c r="I89" s="101" t="str">
        <f t="shared" si="3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/>
      <c r="F90" s="274"/>
      <c r="G90" s="115"/>
      <c r="H90" s="131"/>
      <c r="I90" s="101" t="str">
        <f t="shared" si="3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3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3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/>
      <c r="E93" s="104"/>
      <c r="F93" s="275"/>
      <c r="G93" s="118"/>
      <c r="H93" s="127"/>
      <c r="I93" s="2565">
        <f>SUM(I75:I92)</f>
        <v>3780000</v>
      </c>
      <c r="J93" s="822"/>
      <c r="K93" s="821">
        <f>IF(C74="部分撤去工事",(K70+L93),0)</f>
        <v>0</v>
      </c>
      <c r="L93" s="820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30</v>
      </c>
      <c r="G94" s="122" t="s">
        <v>87</v>
      </c>
      <c r="H94" s="123">
        <f>+H71</f>
        <v>35</v>
      </c>
      <c r="I94" s="123"/>
      <c r="M94" s="33" t="str">
        <f>IF(A96="","EOL","")</f>
        <v/>
      </c>
      <c r="N94" s="1">
        <f>+F94</f>
        <v>30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.25" customHeight="1" thickBot="1">
      <c r="C95" s="2822" t="s">
        <v>320</v>
      </c>
      <c r="D95" s="2822"/>
      <c r="E95" s="2822"/>
      <c r="F95" s="2822"/>
      <c r="G95" s="2822"/>
      <c r="H95" s="2822"/>
      <c r="I95" s="2822"/>
      <c r="J95" s="2822"/>
      <c r="K95" s="2822"/>
      <c r="L95" s="2822"/>
      <c r="O95" s="2823" t="s">
        <v>132</v>
      </c>
      <c r="P95" s="2823"/>
      <c r="Q95" s="2823"/>
      <c r="R95" s="2823"/>
      <c r="S95" s="2823"/>
      <c r="T95" s="2823"/>
      <c r="U95" s="2823"/>
      <c r="V95" s="2823"/>
      <c r="W95" s="2823"/>
      <c r="X95" s="2823"/>
      <c r="Y95" s="2823"/>
      <c r="Z95" s="2823"/>
      <c r="AA95" s="2823"/>
      <c r="AB95" s="2823"/>
      <c r="AC95" s="2823"/>
      <c r="AD95" s="2823"/>
      <c r="AE95" s="2823"/>
      <c r="AF95" s="2823"/>
      <c r="AG95" s="2823"/>
      <c r="AH95" s="2824"/>
    </row>
    <row r="96" spans="1:34" ht="41.25" customHeight="1">
      <c r="A96" s="5" t="s">
        <v>12</v>
      </c>
      <c r="B96" s="5" t="s">
        <v>44</v>
      </c>
      <c r="C96" s="110" t="s">
        <v>0</v>
      </c>
      <c r="D96" s="106"/>
      <c r="E96" s="107" t="s">
        <v>1</v>
      </c>
      <c r="F96" s="108" t="s">
        <v>2</v>
      </c>
      <c r="G96" s="108" t="s">
        <v>3</v>
      </c>
      <c r="H96" s="109" t="s">
        <v>4</v>
      </c>
      <c r="I96" s="109" t="s">
        <v>5</v>
      </c>
      <c r="J96" s="2825" t="s">
        <v>6</v>
      </c>
      <c r="K96" s="2826"/>
      <c r="L96" s="2827"/>
      <c r="M96" s="521"/>
      <c r="N96" s="522" t="s">
        <v>378</v>
      </c>
      <c r="O96" s="154" t="s">
        <v>67</v>
      </c>
      <c r="P96" s="386" t="s">
        <v>303</v>
      </c>
      <c r="Q96" s="276" t="s">
        <v>304</v>
      </c>
      <c r="R96" s="276" t="s">
        <v>212</v>
      </c>
      <c r="S96" s="276" t="s">
        <v>213</v>
      </c>
      <c r="T96" s="276" t="s">
        <v>305</v>
      </c>
      <c r="U96" s="276" t="s">
        <v>126</v>
      </c>
      <c r="V96" s="153" t="s">
        <v>125</v>
      </c>
      <c r="W96" s="276" t="s">
        <v>266</v>
      </c>
      <c r="X96" s="220" t="s">
        <v>214</v>
      </c>
      <c r="Y96" s="220" t="s">
        <v>215</v>
      </c>
      <c r="Z96" s="220" t="s">
        <v>216</v>
      </c>
      <c r="AA96" s="220" t="s">
        <v>217</v>
      </c>
      <c r="AB96" s="220" t="s">
        <v>312</v>
      </c>
      <c r="AC96" s="458" t="s">
        <v>313</v>
      </c>
      <c r="AD96" s="459" t="s">
        <v>314</v>
      </c>
      <c r="AE96" s="460" t="s">
        <v>128</v>
      </c>
      <c r="AF96" s="152" t="s">
        <v>315</v>
      </c>
      <c r="AG96" s="152" t="s">
        <v>129</v>
      </c>
      <c r="AH96" s="152" t="s">
        <v>130</v>
      </c>
    </row>
    <row r="97" spans="1:34" ht="24" customHeight="1">
      <c r="A97" s="38"/>
      <c r="B97" s="38"/>
      <c r="C97" s="128" t="s">
        <v>2495</v>
      </c>
      <c r="D97" s="129"/>
      <c r="E97" s="130"/>
      <c r="F97" s="273"/>
      <c r="G97" s="98"/>
      <c r="H97" s="90" t="s">
        <v>11</v>
      </c>
      <c r="I97" s="90" t="s">
        <v>11</v>
      </c>
      <c r="J97" s="2819"/>
      <c r="K97" s="2820"/>
      <c r="L97" s="2821"/>
      <c r="M97" s="523"/>
      <c r="N97" s="524"/>
      <c r="O97" s="227"/>
      <c r="P97" s="228"/>
      <c r="Q97" s="229"/>
      <c r="R97" s="229"/>
      <c r="S97" s="229"/>
      <c r="T97" s="229"/>
      <c r="U97" s="229"/>
      <c r="V97" s="229"/>
      <c r="W97" s="229"/>
      <c r="X97" s="230"/>
      <c r="Y97" s="230"/>
      <c r="Z97" s="230"/>
      <c r="AA97" s="230"/>
      <c r="AB97" s="230"/>
      <c r="AC97" s="229"/>
      <c r="AD97" s="461"/>
      <c r="AE97" s="462"/>
      <c r="AF97" s="229"/>
      <c r="AG97" s="229"/>
      <c r="AH97" s="463"/>
    </row>
    <row r="98" spans="1:34" s="39" customFormat="1" ht="24" customHeight="1">
      <c r="A98" s="38"/>
      <c r="B98" s="38"/>
      <c r="C98" s="124"/>
      <c r="D98" s="125"/>
      <c r="E98" s="114"/>
      <c r="F98" s="274"/>
      <c r="G98" s="115"/>
      <c r="H98" s="131"/>
      <c r="I98" s="101" t="str">
        <f t="shared" ref="I98:I115" si="5">IF(F98="","",INT(F98*H98))</f>
        <v/>
      </c>
      <c r="J98" s="64"/>
      <c r="K98" s="65"/>
      <c r="L98" s="66"/>
      <c r="M98" s="525"/>
      <c r="N98" s="520"/>
      <c r="O98" s="227"/>
      <c r="P98" s="228"/>
      <c r="Q98" s="229"/>
      <c r="R98" s="229"/>
      <c r="S98" s="229"/>
      <c r="T98" s="229"/>
      <c r="U98" s="229"/>
      <c r="V98" s="229"/>
      <c r="W98" s="229"/>
      <c r="X98" s="230"/>
      <c r="Y98" s="230"/>
      <c r="Z98" s="230"/>
      <c r="AA98" s="230"/>
      <c r="AB98" s="230"/>
      <c r="AC98" s="229"/>
      <c r="AD98" s="461"/>
      <c r="AE98" s="462"/>
      <c r="AF98" s="229"/>
      <c r="AG98" s="229"/>
      <c r="AH98" s="213"/>
    </row>
    <row r="99" spans="1:34" s="2586" customFormat="1" ht="24" customHeight="1">
      <c r="A99" s="2566">
        <v>4</v>
      </c>
      <c r="B99" s="2566">
        <v>4</v>
      </c>
      <c r="C99" s="2567">
        <v>203</v>
      </c>
      <c r="D99" s="2568" t="s">
        <v>3381</v>
      </c>
      <c r="E99" s="2569" t="s">
        <v>3382</v>
      </c>
      <c r="F99" s="2570">
        <v>4</v>
      </c>
      <c r="G99" s="2571" t="s">
        <v>3278</v>
      </c>
      <c r="H99" s="2572">
        <f>見積比較!O$86</f>
        <v>290000</v>
      </c>
      <c r="I99" s="101">
        <f>IF(F99="","",INT(F99*H99))</f>
        <v>1160000</v>
      </c>
      <c r="J99" s="2574" t="s">
        <v>3387</v>
      </c>
      <c r="K99" s="2575"/>
      <c r="L99" s="2576"/>
      <c r="M99" s="2577"/>
      <c r="N99" s="2578"/>
      <c r="O99" s="2579">
        <v>0</v>
      </c>
      <c r="P99" s="2580"/>
      <c r="Q99" s="2581"/>
      <c r="R99" s="2581"/>
      <c r="S99" s="2581"/>
      <c r="T99" s="2581"/>
      <c r="U99" s="2581"/>
      <c r="V99" s="2581"/>
      <c r="W99" s="2581"/>
      <c r="X99" s="2582"/>
      <c r="Y99" s="2582"/>
      <c r="Z99" s="2582"/>
      <c r="AA99" s="2582"/>
      <c r="AB99" s="2582"/>
      <c r="AC99" s="2581"/>
      <c r="AD99" s="2583"/>
      <c r="AE99" s="2584"/>
      <c r="AF99" s="2581"/>
      <c r="AG99" s="2581"/>
      <c r="AH99" s="2585"/>
    </row>
    <row r="100" spans="1:34" s="2586" customFormat="1" ht="24" customHeight="1">
      <c r="A100" s="2566"/>
      <c r="B100" s="2566"/>
      <c r="C100" s="2567"/>
      <c r="D100" s="2598" t="str">
        <f>+見積類似!L45</f>
        <v>鼻先ｽﾃﾝﾚｽプレート</v>
      </c>
      <c r="E100" s="2569" t="str">
        <f>+見積類似!M36</f>
        <v>4-M10　タップネジ切</v>
      </c>
      <c r="F100" s="2570"/>
      <c r="G100" s="2571"/>
      <c r="H100" s="2572"/>
      <c r="I100" s="2573" t="str">
        <f t="shared" ref="I100:I106" si="6">IF(F100="","",INT(F100*H100))</f>
        <v/>
      </c>
      <c r="J100" s="2574"/>
      <c r="K100" s="2575"/>
      <c r="L100" s="2576"/>
      <c r="M100" s="2577"/>
      <c r="N100" s="2578"/>
      <c r="O100" s="2579"/>
      <c r="P100" s="2580"/>
      <c r="Q100" s="2581"/>
      <c r="R100" s="2581"/>
      <c r="S100" s="2581"/>
      <c r="T100" s="2581"/>
      <c r="U100" s="2581"/>
      <c r="V100" s="2581"/>
      <c r="W100" s="2581"/>
      <c r="X100" s="2582"/>
      <c r="Y100" s="2582"/>
      <c r="Z100" s="2582"/>
      <c r="AA100" s="2582"/>
      <c r="AB100" s="2582"/>
      <c r="AC100" s="2581"/>
      <c r="AD100" s="2583"/>
      <c r="AE100" s="2584"/>
      <c r="AF100" s="2581"/>
      <c r="AG100" s="2581"/>
      <c r="AH100" s="2585"/>
    </row>
    <row r="101" spans="1:34" s="2586" customFormat="1" ht="24" customHeight="1">
      <c r="A101" s="2566"/>
      <c r="B101" s="2566"/>
      <c r="C101" s="2567"/>
      <c r="D101" s="2598"/>
      <c r="E101" s="2569" t="str">
        <f>+見積類似!M37</f>
        <v>SUS-50×50×4　L=40　4カ所</v>
      </c>
      <c r="F101" s="2570"/>
      <c r="G101" s="2571"/>
      <c r="H101" s="2572"/>
      <c r="I101" s="2573" t="str">
        <f t="shared" si="6"/>
        <v/>
      </c>
      <c r="J101" s="2574"/>
      <c r="K101" s="2575"/>
      <c r="L101" s="2576"/>
      <c r="M101" s="2577"/>
      <c r="N101" s="2578"/>
      <c r="O101" s="2579"/>
      <c r="P101" s="2580"/>
      <c r="Q101" s="2581"/>
      <c r="R101" s="2581"/>
      <c r="S101" s="2581"/>
      <c r="T101" s="2581"/>
      <c r="U101" s="2581"/>
      <c r="V101" s="2581"/>
      <c r="W101" s="2581"/>
      <c r="X101" s="2582"/>
      <c r="Y101" s="2582"/>
      <c r="Z101" s="2582"/>
      <c r="AA101" s="2582"/>
      <c r="AB101" s="2582"/>
      <c r="AC101" s="2581"/>
      <c r="AD101" s="2583"/>
      <c r="AE101" s="2584"/>
      <c r="AF101" s="2581"/>
      <c r="AG101" s="2581"/>
      <c r="AH101" s="2585"/>
    </row>
    <row r="102" spans="1:34" s="2586" customFormat="1" ht="24" customHeight="1">
      <c r="A102" s="2566"/>
      <c r="B102" s="2566"/>
      <c r="C102" s="2567"/>
      <c r="D102" s="2598"/>
      <c r="E102" s="2569" t="str">
        <f>+見積類似!M38</f>
        <v>固定ボルトφ12</v>
      </c>
      <c r="F102" s="2570"/>
      <c r="G102" s="2571"/>
      <c r="H102" s="2572"/>
      <c r="I102" s="2573" t="str">
        <f t="shared" si="6"/>
        <v/>
      </c>
      <c r="J102" s="2574"/>
      <c r="K102" s="2575"/>
      <c r="L102" s="2576"/>
      <c r="M102" s="2577"/>
      <c r="N102" s="2578"/>
      <c r="O102" s="2579"/>
      <c r="P102" s="2580"/>
      <c r="Q102" s="2581"/>
      <c r="R102" s="2581"/>
      <c r="S102" s="2581"/>
      <c r="T102" s="2581"/>
      <c r="U102" s="2581"/>
      <c r="V102" s="2581"/>
      <c r="W102" s="2581"/>
      <c r="X102" s="2582"/>
      <c r="Y102" s="2582"/>
      <c r="Z102" s="2582"/>
      <c r="AA102" s="2582"/>
      <c r="AB102" s="2582"/>
      <c r="AC102" s="2581"/>
      <c r="AD102" s="2583"/>
      <c r="AE102" s="2584"/>
      <c r="AF102" s="2581"/>
      <c r="AG102" s="2581"/>
      <c r="AH102" s="2585"/>
    </row>
    <row r="103" spans="1:34" s="2586" customFormat="1" ht="24" customHeight="1">
      <c r="A103" s="2566"/>
      <c r="B103" s="2566"/>
      <c r="C103" s="2567"/>
      <c r="D103" s="2598"/>
      <c r="E103" s="2569" t="str">
        <f>+見積類似!M39</f>
        <v>SUS-30×30×3　L=475　4カ所</v>
      </c>
      <c r="F103" s="2570"/>
      <c r="G103" s="2571"/>
      <c r="H103" s="2572"/>
      <c r="I103" s="2573" t="str">
        <f t="shared" si="6"/>
        <v/>
      </c>
      <c r="J103" s="2574"/>
      <c r="K103" s="2575"/>
      <c r="L103" s="2576"/>
      <c r="M103" s="2577"/>
      <c r="N103" s="2578"/>
      <c r="O103" s="2579"/>
      <c r="P103" s="2580"/>
      <c r="Q103" s="2581"/>
      <c r="R103" s="2581"/>
      <c r="S103" s="2581"/>
      <c r="T103" s="2581"/>
      <c r="U103" s="2581"/>
      <c r="V103" s="2581"/>
      <c r="W103" s="2581"/>
      <c r="X103" s="2582"/>
      <c r="Y103" s="2582"/>
      <c r="Z103" s="2582"/>
      <c r="AA103" s="2582"/>
      <c r="AB103" s="2582"/>
      <c r="AC103" s="2581"/>
      <c r="AD103" s="2583"/>
      <c r="AE103" s="2584"/>
      <c r="AF103" s="2581"/>
      <c r="AG103" s="2581"/>
      <c r="AH103" s="2585"/>
    </row>
    <row r="104" spans="1:34" s="2586" customFormat="1" ht="24" customHeight="1">
      <c r="A104" s="2566"/>
      <c r="B104" s="2566"/>
      <c r="C104" s="2567"/>
      <c r="D104" s="2598"/>
      <c r="E104" s="2569" t="str">
        <f>+見積類似!M40</f>
        <v>固定アンカー2-φ12</v>
      </c>
      <c r="F104" s="2570"/>
      <c r="G104" s="2571"/>
      <c r="H104" s="2572"/>
      <c r="I104" s="2573" t="str">
        <f t="shared" si="6"/>
        <v/>
      </c>
      <c r="J104" s="2574"/>
      <c r="K104" s="2575"/>
      <c r="L104" s="2576"/>
      <c r="M104" s="2577"/>
      <c r="N104" s="2578"/>
      <c r="O104" s="2579"/>
      <c r="P104" s="2580"/>
      <c r="Q104" s="2581"/>
      <c r="R104" s="2581"/>
      <c r="S104" s="2581"/>
      <c r="T104" s="2581"/>
      <c r="U104" s="2581"/>
      <c r="V104" s="2581"/>
      <c r="W104" s="2581"/>
      <c r="X104" s="2582"/>
      <c r="Y104" s="2582"/>
      <c r="Z104" s="2582"/>
      <c r="AA104" s="2582"/>
      <c r="AB104" s="2582"/>
      <c r="AC104" s="2581"/>
      <c r="AD104" s="2583"/>
      <c r="AE104" s="2584"/>
      <c r="AF104" s="2581"/>
      <c r="AG104" s="2581"/>
      <c r="AH104" s="2585"/>
    </row>
    <row r="105" spans="1:34" s="2586" customFormat="1" ht="24" customHeight="1">
      <c r="A105" s="2566"/>
      <c r="B105" s="2566"/>
      <c r="C105" s="2567"/>
      <c r="D105" s="2598"/>
      <c r="E105" s="2569" t="str">
        <f>+見積類似!M41</f>
        <v>SUSM10　六角ボルト</v>
      </c>
      <c r="F105" s="2570"/>
      <c r="G105" s="2571"/>
      <c r="H105" s="2572"/>
      <c r="I105" s="2573" t="str">
        <f t="shared" si="6"/>
        <v/>
      </c>
      <c r="J105" s="2574"/>
      <c r="K105" s="2575"/>
      <c r="L105" s="2576"/>
      <c r="M105" s="2577"/>
      <c r="N105" s="2578"/>
      <c r="O105" s="2579"/>
      <c r="P105" s="2580"/>
      <c r="Q105" s="2581"/>
      <c r="R105" s="2581"/>
      <c r="S105" s="2581"/>
      <c r="T105" s="2581"/>
      <c r="U105" s="2581"/>
      <c r="V105" s="2581"/>
      <c r="W105" s="2581"/>
      <c r="X105" s="2582"/>
      <c r="Y105" s="2582"/>
      <c r="Z105" s="2582"/>
      <c r="AA105" s="2582"/>
      <c r="AB105" s="2582"/>
      <c r="AC105" s="2581"/>
      <c r="AD105" s="2583"/>
      <c r="AE105" s="2584"/>
      <c r="AF105" s="2581"/>
      <c r="AG105" s="2581"/>
      <c r="AH105" s="2585"/>
    </row>
    <row r="106" spans="1:34" s="2586" customFormat="1" ht="24" customHeight="1">
      <c r="A106" s="2566"/>
      <c r="B106" s="2566"/>
      <c r="C106" s="2567"/>
      <c r="D106" s="2598"/>
      <c r="E106" s="2569" t="str">
        <f>+見積類似!M42</f>
        <v>あと施工ｱﾝｶｰ　2-M10</v>
      </c>
      <c r="F106" s="2570"/>
      <c r="G106" s="2571"/>
      <c r="H106" s="2572"/>
      <c r="I106" s="2573" t="str">
        <f t="shared" si="6"/>
        <v/>
      </c>
      <c r="J106" s="2574"/>
      <c r="K106" s="2575"/>
      <c r="L106" s="2576"/>
      <c r="M106" s="2577"/>
      <c r="N106" s="2578"/>
      <c r="O106" s="2579"/>
      <c r="P106" s="2580"/>
      <c r="Q106" s="2581"/>
      <c r="R106" s="2581"/>
      <c r="S106" s="2581"/>
      <c r="T106" s="2581"/>
      <c r="U106" s="2581"/>
      <c r="V106" s="2581"/>
      <c r="W106" s="2581"/>
      <c r="X106" s="2582"/>
      <c r="Y106" s="2582"/>
      <c r="Z106" s="2582"/>
      <c r="AA106" s="2582"/>
      <c r="AB106" s="2582"/>
      <c r="AC106" s="2581"/>
      <c r="AD106" s="2583"/>
      <c r="AE106" s="2584"/>
      <c r="AF106" s="2581"/>
      <c r="AG106" s="2581"/>
      <c r="AH106" s="2585"/>
    </row>
    <row r="107" spans="1:34" s="2586" customFormat="1" ht="24" customHeight="1">
      <c r="A107" s="2566"/>
      <c r="B107" s="2566"/>
      <c r="C107" s="2567"/>
      <c r="D107" s="2598"/>
      <c r="E107" s="2569"/>
      <c r="F107" s="2570"/>
      <c r="G107" s="2571"/>
      <c r="H107" s="2572"/>
      <c r="I107" s="2573" t="str">
        <f t="shared" si="5"/>
        <v/>
      </c>
      <c r="J107" s="2574"/>
      <c r="K107" s="2575"/>
      <c r="L107" s="2576"/>
      <c r="M107" s="2577"/>
      <c r="N107" s="2578"/>
      <c r="O107" s="2579"/>
      <c r="P107" s="2580"/>
      <c r="Q107" s="2581"/>
      <c r="R107" s="2581"/>
      <c r="S107" s="2581"/>
      <c r="T107" s="2581"/>
      <c r="U107" s="2581"/>
      <c r="V107" s="2581"/>
      <c r="W107" s="2581"/>
      <c r="X107" s="2582"/>
      <c r="Y107" s="2582"/>
      <c r="Z107" s="2582"/>
      <c r="AA107" s="2582"/>
      <c r="AB107" s="2582"/>
      <c r="AC107" s="2581"/>
      <c r="AD107" s="2583"/>
      <c r="AE107" s="2584"/>
      <c r="AF107" s="2581"/>
      <c r="AG107" s="2581"/>
      <c r="AH107" s="2585"/>
    </row>
    <row r="108" spans="1:34" s="39" customFormat="1" ht="24" customHeight="1">
      <c r="A108" s="2566">
        <v>4</v>
      </c>
      <c r="B108" s="2566">
        <v>4</v>
      </c>
      <c r="C108" s="124">
        <v>310</v>
      </c>
      <c r="D108" s="785" t="s">
        <v>3305</v>
      </c>
      <c r="E108" s="114" t="s">
        <v>3307</v>
      </c>
      <c r="F108" s="274">
        <v>1</v>
      </c>
      <c r="G108" s="115" t="s">
        <v>3302</v>
      </c>
      <c r="H108" s="131">
        <f>見積比較!O$13</f>
        <v>8120</v>
      </c>
      <c r="I108" s="101">
        <f t="shared" ref="I108:I114" si="7">IF(F108="","",INT(F108*H108))</f>
        <v>8120</v>
      </c>
      <c r="J108" s="64" t="s">
        <v>3306</v>
      </c>
      <c r="K108" s="65"/>
      <c r="L108" s="66"/>
      <c r="M108" s="525"/>
      <c r="N108" s="520"/>
      <c r="O108" s="227">
        <v>0</v>
      </c>
      <c r="P108" s="228"/>
      <c r="Q108" s="229"/>
      <c r="R108" s="229"/>
      <c r="S108" s="229"/>
      <c r="T108" s="229"/>
      <c r="U108" s="229"/>
      <c r="V108" s="229"/>
      <c r="W108" s="229"/>
      <c r="X108" s="230"/>
      <c r="Y108" s="230"/>
      <c r="Z108" s="230"/>
      <c r="AA108" s="230"/>
      <c r="AB108" s="230"/>
      <c r="AC108" s="229"/>
      <c r="AD108" s="461"/>
      <c r="AE108" s="462"/>
      <c r="AF108" s="229"/>
      <c r="AG108" s="229"/>
      <c r="AH108" s="213"/>
    </row>
    <row r="109" spans="1:34" s="39" customFormat="1" ht="24" customHeight="1">
      <c r="A109" s="2566">
        <v>4</v>
      </c>
      <c r="B109" s="2566">
        <v>4</v>
      </c>
      <c r="C109" s="124">
        <v>311</v>
      </c>
      <c r="D109" s="785" t="s">
        <v>3305</v>
      </c>
      <c r="E109" s="114" t="s">
        <v>3334</v>
      </c>
      <c r="F109" s="274">
        <v>72</v>
      </c>
      <c r="G109" s="115" t="s">
        <v>3302</v>
      </c>
      <c r="H109" s="131">
        <f>見積比較!O$14</f>
        <v>9600</v>
      </c>
      <c r="I109" s="101">
        <f t="shared" si="7"/>
        <v>691200</v>
      </c>
      <c r="J109" s="64" t="s">
        <v>3306</v>
      </c>
      <c r="K109" s="65"/>
      <c r="L109" s="66"/>
      <c r="M109" s="525"/>
      <c r="N109" s="520"/>
      <c r="O109" s="227">
        <v>0</v>
      </c>
      <c r="P109" s="228"/>
      <c r="Q109" s="229"/>
      <c r="R109" s="229"/>
      <c r="S109" s="229"/>
      <c r="T109" s="229"/>
      <c r="U109" s="229"/>
      <c r="V109" s="229"/>
      <c r="W109" s="229"/>
      <c r="X109" s="230"/>
      <c r="Y109" s="230"/>
      <c r="Z109" s="230"/>
      <c r="AA109" s="230"/>
      <c r="AB109" s="230"/>
      <c r="AC109" s="229"/>
      <c r="AD109" s="461"/>
      <c r="AE109" s="462"/>
      <c r="AF109" s="229"/>
      <c r="AG109" s="229"/>
      <c r="AH109" s="213"/>
    </row>
    <row r="110" spans="1:34" s="39" customFormat="1" ht="24" customHeight="1">
      <c r="A110" s="2566">
        <v>4</v>
      </c>
      <c r="B110" s="2566">
        <v>4</v>
      </c>
      <c r="C110" s="124">
        <v>312</v>
      </c>
      <c r="D110" s="785" t="s">
        <v>3305</v>
      </c>
      <c r="E110" s="114" t="s">
        <v>3336</v>
      </c>
      <c r="F110" s="274">
        <v>2</v>
      </c>
      <c r="G110" s="115" t="s">
        <v>3302</v>
      </c>
      <c r="H110" s="131">
        <f>見積比較!O$15</f>
        <v>10300</v>
      </c>
      <c r="I110" s="101">
        <f t="shared" si="7"/>
        <v>20600</v>
      </c>
      <c r="J110" s="64" t="s">
        <v>3306</v>
      </c>
      <c r="K110" s="65"/>
      <c r="L110" s="66"/>
      <c r="M110" s="525"/>
      <c r="N110" s="520"/>
      <c r="O110" s="227">
        <v>0</v>
      </c>
      <c r="P110" s="228"/>
      <c r="Q110" s="229"/>
      <c r="R110" s="229"/>
      <c r="S110" s="229"/>
      <c r="T110" s="229"/>
      <c r="U110" s="229"/>
      <c r="V110" s="229"/>
      <c r="W110" s="229"/>
      <c r="X110" s="230"/>
      <c r="Y110" s="230"/>
      <c r="Z110" s="230"/>
      <c r="AA110" s="230"/>
      <c r="AB110" s="230"/>
      <c r="AC110" s="229"/>
      <c r="AD110" s="461"/>
      <c r="AE110" s="462"/>
      <c r="AF110" s="229"/>
      <c r="AG110" s="229"/>
      <c r="AH110" s="213"/>
    </row>
    <row r="111" spans="1:34" s="39" customFormat="1" ht="24" customHeight="1">
      <c r="A111" s="2566">
        <v>4</v>
      </c>
      <c r="B111" s="2566">
        <v>4</v>
      </c>
      <c r="C111" s="124">
        <v>313</v>
      </c>
      <c r="D111" s="785" t="s">
        <v>3305</v>
      </c>
      <c r="E111" s="114" t="s">
        <v>3310</v>
      </c>
      <c r="F111" s="274">
        <v>2</v>
      </c>
      <c r="G111" s="115" t="s">
        <v>3302</v>
      </c>
      <c r="H111" s="131">
        <f>見積比較!O$16</f>
        <v>12300</v>
      </c>
      <c r="I111" s="101">
        <f t="shared" si="7"/>
        <v>24600</v>
      </c>
      <c r="J111" s="64" t="s">
        <v>3306</v>
      </c>
      <c r="K111" s="65"/>
      <c r="L111" s="66"/>
      <c r="M111" s="525"/>
      <c r="N111" s="520"/>
      <c r="O111" s="227">
        <v>0</v>
      </c>
      <c r="P111" s="228"/>
      <c r="Q111" s="229"/>
      <c r="R111" s="229"/>
      <c r="S111" s="229"/>
      <c r="T111" s="229"/>
      <c r="U111" s="229"/>
      <c r="V111" s="229"/>
      <c r="W111" s="229"/>
      <c r="X111" s="230"/>
      <c r="Y111" s="230"/>
      <c r="Z111" s="230"/>
      <c r="AA111" s="230"/>
      <c r="AB111" s="230"/>
      <c r="AC111" s="229"/>
      <c r="AD111" s="461"/>
      <c r="AE111" s="462"/>
      <c r="AF111" s="229"/>
      <c r="AG111" s="229"/>
      <c r="AH111" s="213"/>
    </row>
    <row r="112" spans="1:34" s="39" customFormat="1" ht="24" customHeight="1">
      <c r="A112" s="2566">
        <v>4</v>
      </c>
      <c r="B112" s="2566">
        <v>4</v>
      </c>
      <c r="C112" s="124">
        <v>314</v>
      </c>
      <c r="D112" s="785" t="s">
        <v>3305</v>
      </c>
      <c r="E112" s="114" t="s">
        <v>3312</v>
      </c>
      <c r="F112" s="274">
        <v>1</v>
      </c>
      <c r="G112" s="115" t="s">
        <v>3302</v>
      </c>
      <c r="H112" s="131">
        <f>見積比較!O$17</f>
        <v>13400</v>
      </c>
      <c r="I112" s="101">
        <f t="shared" si="7"/>
        <v>13400</v>
      </c>
      <c r="J112" s="64" t="s">
        <v>3306</v>
      </c>
      <c r="K112" s="65"/>
      <c r="L112" s="66"/>
      <c r="M112" s="525"/>
      <c r="N112" s="520"/>
      <c r="O112" s="227">
        <v>0</v>
      </c>
      <c r="P112" s="228"/>
      <c r="Q112" s="229"/>
      <c r="R112" s="229"/>
      <c r="S112" s="229"/>
      <c r="T112" s="229"/>
      <c r="U112" s="229"/>
      <c r="V112" s="229"/>
      <c r="W112" s="229"/>
      <c r="X112" s="230"/>
      <c r="Y112" s="230"/>
      <c r="Z112" s="230"/>
      <c r="AA112" s="230"/>
      <c r="AB112" s="230"/>
      <c r="AC112" s="229"/>
      <c r="AD112" s="461"/>
      <c r="AE112" s="462"/>
      <c r="AF112" s="229"/>
      <c r="AG112" s="229"/>
      <c r="AH112" s="213"/>
    </row>
    <row r="113" spans="1:34" s="39" customFormat="1" ht="24" customHeight="1">
      <c r="A113" s="2566">
        <v>4</v>
      </c>
      <c r="B113" s="2566">
        <v>4</v>
      </c>
      <c r="C113" s="124">
        <v>315</v>
      </c>
      <c r="D113" s="785" t="s">
        <v>3305</v>
      </c>
      <c r="E113" s="114" t="s">
        <v>3315</v>
      </c>
      <c r="F113" s="274">
        <v>2</v>
      </c>
      <c r="G113" s="115" t="s">
        <v>3302</v>
      </c>
      <c r="H113" s="131">
        <f>見積比較!O$18</f>
        <v>15000</v>
      </c>
      <c r="I113" s="101">
        <f t="shared" si="7"/>
        <v>30000</v>
      </c>
      <c r="J113" s="64" t="s">
        <v>3306</v>
      </c>
      <c r="K113" s="65"/>
      <c r="L113" s="66"/>
      <c r="M113" s="525"/>
      <c r="N113" s="520"/>
      <c r="O113" s="227">
        <v>0</v>
      </c>
      <c r="P113" s="228"/>
      <c r="Q113" s="229"/>
      <c r="R113" s="229"/>
      <c r="S113" s="229"/>
      <c r="T113" s="229"/>
      <c r="U113" s="229"/>
      <c r="V113" s="229"/>
      <c r="W113" s="229"/>
      <c r="X113" s="230"/>
      <c r="Y113" s="230"/>
      <c r="Z113" s="230"/>
      <c r="AA113" s="230"/>
      <c r="AB113" s="230"/>
      <c r="AC113" s="229"/>
      <c r="AD113" s="461"/>
      <c r="AE113" s="462"/>
      <c r="AF113" s="229"/>
      <c r="AG113" s="229"/>
      <c r="AH113" s="213"/>
    </row>
    <row r="114" spans="1:34" s="39" customFormat="1" ht="24" customHeight="1">
      <c r="A114" s="2566">
        <v>4</v>
      </c>
      <c r="B114" s="2566">
        <v>4</v>
      </c>
      <c r="C114" s="124">
        <v>316</v>
      </c>
      <c r="D114" s="785" t="s">
        <v>3305</v>
      </c>
      <c r="E114" s="114" t="s">
        <v>3340</v>
      </c>
      <c r="F114" s="274">
        <v>12</v>
      </c>
      <c r="G114" s="115" t="s">
        <v>3302</v>
      </c>
      <c r="H114" s="131">
        <f>見積比較!O$19</f>
        <v>15500</v>
      </c>
      <c r="I114" s="101">
        <f t="shared" si="7"/>
        <v>186000</v>
      </c>
      <c r="J114" s="64" t="s">
        <v>3306</v>
      </c>
      <c r="K114" s="65"/>
      <c r="L114" s="66"/>
      <c r="M114" s="525"/>
      <c r="N114" s="520"/>
      <c r="O114" s="227">
        <v>0</v>
      </c>
      <c r="P114" s="228"/>
      <c r="Q114" s="229"/>
      <c r="R114" s="229"/>
      <c r="S114" s="229"/>
      <c r="T114" s="229"/>
      <c r="U114" s="229"/>
      <c r="V114" s="229"/>
      <c r="W114" s="229"/>
      <c r="X114" s="230"/>
      <c r="Y114" s="230"/>
      <c r="Z114" s="230"/>
      <c r="AA114" s="230"/>
      <c r="AB114" s="230"/>
      <c r="AC114" s="229"/>
      <c r="AD114" s="461"/>
      <c r="AE114" s="462"/>
      <c r="AF114" s="229"/>
      <c r="AG114" s="229"/>
      <c r="AH114" s="213"/>
    </row>
    <row r="115" spans="1:34" s="39" customFormat="1" ht="24" customHeight="1">
      <c r="A115" s="38"/>
      <c r="B115" s="38"/>
      <c r="C115" s="124"/>
      <c r="D115" s="125"/>
      <c r="E115" s="114"/>
      <c r="F115" s="274"/>
      <c r="G115" s="115"/>
      <c r="H115" s="131"/>
      <c r="I115" s="101" t="str">
        <f t="shared" si="5"/>
        <v/>
      </c>
      <c r="J115" s="64"/>
      <c r="K115" s="65"/>
      <c r="L115" s="66"/>
      <c r="M115" s="525"/>
      <c r="N115" s="520"/>
      <c r="O115" s="227"/>
      <c r="P115" s="228"/>
      <c r="Q115" s="229"/>
      <c r="R115" s="229"/>
      <c r="S115" s="229"/>
      <c r="T115" s="229"/>
      <c r="U115" s="229"/>
      <c r="V115" s="229"/>
      <c r="W115" s="229"/>
      <c r="X115" s="230"/>
      <c r="Y115" s="230"/>
      <c r="Z115" s="230"/>
      <c r="AA115" s="230"/>
      <c r="AB115" s="230"/>
      <c r="AC115" s="229"/>
      <c r="AD115" s="461"/>
      <c r="AE115" s="462"/>
      <c r="AF115" s="229"/>
      <c r="AG115" s="229"/>
      <c r="AH115" s="213"/>
    </row>
    <row r="116" spans="1:34" ht="24" customHeight="1" thickBot="1">
      <c r="A116" s="38"/>
      <c r="B116" s="38"/>
      <c r="C116" s="103"/>
      <c r="D116" s="92" t="s">
        <v>8</v>
      </c>
      <c r="E116" s="104"/>
      <c r="F116" s="275"/>
      <c r="G116" s="118"/>
      <c r="H116" s="127" t="s">
        <v>88</v>
      </c>
      <c r="I116" s="105">
        <f>SUM(I98:I115)+I93</f>
        <v>5913920</v>
      </c>
      <c r="J116" s="822" t="str">
        <f>IF(C97="部分撤去工事","）うち費用",")")</f>
        <v>)</v>
      </c>
      <c r="K116" s="821">
        <f>IF(C97="部分撤去工事",(K93+L116),0)</f>
        <v>0</v>
      </c>
      <c r="L116" s="820">
        <f>IF(C97="部分撤去工事",SUMIF(N98:N115,"費用",I98:I115),0)</f>
        <v>0</v>
      </c>
      <c r="M116" s="526"/>
      <c r="N116" s="527"/>
      <c r="O116" s="227"/>
      <c r="P116" s="228"/>
      <c r="Q116" s="229"/>
      <c r="R116" s="229"/>
      <c r="S116" s="229"/>
      <c r="T116" s="229"/>
      <c r="U116" s="229"/>
      <c r="V116" s="229"/>
      <c r="W116" s="229"/>
      <c r="X116" s="230"/>
      <c r="Y116" s="230"/>
      <c r="Z116" s="230"/>
      <c r="AA116" s="230"/>
      <c r="AB116" s="230"/>
      <c r="AC116" s="229"/>
      <c r="AD116" s="461"/>
      <c r="AE116" s="462"/>
      <c r="AF116" s="229"/>
      <c r="AG116" s="229"/>
      <c r="AH116" s="463"/>
    </row>
    <row r="117" spans="1:34" ht="14.25" customHeight="1">
      <c r="E117" s="120" t="s">
        <v>86</v>
      </c>
      <c r="F117" s="121">
        <f>+F94+1</f>
        <v>31</v>
      </c>
      <c r="G117" s="122" t="s">
        <v>87</v>
      </c>
      <c r="H117" s="123">
        <f>+H94</f>
        <v>35</v>
      </c>
      <c r="I117" s="123"/>
      <c r="M117" s="33" t="str">
        <f>IF(A119="","EOL","")</f>
        <v/>
      </c>
      <c r="N117" s="1">
        <f>+F117</f>
        <v>31</v>
      </c>
      <c r="Q117" s="39"/>
      <c r="R117" s="39"/>
      <c r="S117" s="39"/>
      <c r="T117" s="39"/>
      <c r="U117" s="39"/>
      <c r="V117" s="39"/>
      <c r="W117" s="39"/>
      <c r="X117" s="39"/>
      <c r="Y117" s="39"/>
      <c r="Z117" s="39"/>
    </row>
    <row r="118" spans="1:34" ht="26.25" customHeight="1" thickBot="1">
      <c r="C118" s="2822" t="s">
        <v>320</v>
      </c>
      <c r="D118" s="2822"/>
      <c r="E118" s="2822"/>
      <c r="F118" s="2822"/>
      <c r="G118" s="2822"/>
      <c r="H118" s="2822"/>
      <c r="I118" s="2822"/>
      <c r="J118" s="2822"/>
      <c r="K118" s="2822"/>
      <c r="L118" s="2822"/>
      <c r="O118" s="2823" t="s">
        <v>132</v>
      </c>
      <c r="P118" s="2823"/>
      <c r="Q118" s="2823"/>
      <c r="R118" s="2823"/>
      <c r="S118" s="2823"/>
      <c r="T118" s="2823"/>
      <c r="U118" s="2823"/>
      <c r="V118" s="2823"/>
      <c r="W118" s="2823"/>
      <c r="X118" s="2823"/>
      <c r="Y118" s="2823"/>
      <c r="Z118" s="2823"/>
      <c r="AA118" s="2823"/>
      <c r="AB118" s="2823"/>
      <c r="AC118" s="2823"/>
      <c r="AD118" s="2823"/>
      <c r="AE118" s="2823"/>
      <c r="AF118" s="2823"/>
      <c r="AG118" s="2823"/>
      <c r="AH118" s="2824"/>
    </row>
    <row r="119" spans="1:34" ht="41.25" customHeight="1">
      <c r="A119" s="5" t="s">
        <v>12</v>
      </c>
      <c r="B119" s="5" t="s">
        <v>44</v>
      </c>
      <c r="C119" s="110" t="s">
        <v>0</v>
      </c>
      <c r="D119" s="106"/>
      <c r="E119" s="107" t="s">
        <v>1</v>
      </c>
      <c r="F119" s="108" t="s">
        <v>2</v>
      </c>
      <c r="G119" s="108" t="s">
        <v>3</v>
      </c>
      <c r="H119" s="109" t="s">
        <v>4</v>
      </c>
      <c r="I119" s="109" t="s">
        <v>5</v>
      </c>
      <c r="J119" s="2825" t="s">
        <v>6</v>
      </c>
      <c r="K119" s="2826"/>
      <c r="L119" s="2827"/>
      <c r="M119" s="521"/>
      <c r="N119" s="522" t="s">
        <v>378</v>
      </c>
      <c r="O119" s="154" t="s">
        <v>67</v>
      </c>
      <c r="P119" s="386" t="s">
        <v>303</v>
      </c>
      <c r="Q119" s="276" t="s">
        <v>304</v>
      </c>
      <c r="R119" s="276" t="s">
        <v>212</v>
      </c>
      <c r="S119" s="276" t="s">
        <v>213</v>
      </c>
      <c r="T119" s="276" t="s">
        <v>305</v>
      </c>
      <c r="U119" s="276" t="s">
        <v>126</v>
      </c>
      <c r="V119" s="153" t="s">
        <v>125</v>
      </c>
      <c r="W119" s="276" t="s">
        <v>266</v>
      </c>
      <c r="X119" s="220" t="s">
        <v>214</v>
      </c>
      <c r="Y119" s="220" t="s">
        <v>215</v>
      </c>
      <c r="Z119" s="220" t="s">
        <v>216</v>
      </c>
      <c r="AA119" s="220" t="s">
        <v>217</v>
      </c>
      <c r="AB119" s="220" t="s">
        <v>312</v>
      </c>
      <c r="AC119" s="458" t="s">
        <v>313</v>
      </c>
      <c r="AD119" s="459" t="s">
        <v>314</v>
      </c>
      <c r="AE119" s="460" t="s">
        <v>128</v>
      </c>
      <c r="AF119" s="152" t="s">
        <v>315</v>
      </c>
      <c r="AG119" s="152" t="s">
        <v>129</v>
      </c>
      <c r="AH119" s="152" t="s">
        <v>130</v>
      </c>
    </row>
    <row r="120" spans="1:34" ht="24" customHeight="1">
      <c r="A120" s="38"/>
      <c r="B120" s="38"/>
      <c r="C120" s="128" t="s">
        <v>3134</v>
      </c>
      <c r="D120" s="129"/>
      <c r="E120" s="130"/>
      <c r="F120" s="273"/>
      <c r="G120" s="98"/>
      <c r="H120" s="90" t="s">
        <v>11</v>
      </c>
      <c r="I120" s="90" t="s">
        <v>11</v>
      </c>
      <c r="J120" s="2819"/>
      <c r="K120" s="2820"/>
      <c r="L120" s="2821"/>
      <c r="M120" s="523"/>
      <c r="N120" s="524"/>
      <c r="O120" s="227"/>
      <c r="P120" s="228"/>
      <c r="Q120" s="229"/>
      <c r="R120" s="229"/>
      <c r="S120" s="229"/>
      <c r="T120" s="229"/>
      <c r="U120" s="229"/>
      <c r="V120" s="229"/>
      <c r="W120" s="229"/>
      <c r="X120" s="230"/>
      <c r="Y120" s="230"/>
      <c r="Z120" s="230"/>
      <c r="AA120" s="230"/>
      <c r="AB120" s="230"/>
      <c r="AC120" s="229"/>
      <c r="AD120" s="461"/>
      <c r="AE120" s="462"/>
      <c r="AF120" s="229"/>
      <c r="AG120" s="229"/>
      <c r="AH120" s="463"/>
    </row>
    <row r="121" spans="1:34" s="39" customFormat="1" ht="24" customHeight="1">
      <c r="A121" s="38"/>
      <c r="B121" s="38"/>
      <c r="C121" s="124"/>
      <c r="D121" s="125"/>
      <c r="E121" s="114"/>
      <c r="F121" s="274"/>
      <c r="G121" s="115"/>
      <c r="H121" s="131"/>
      <c r="I121" s="101" t="str">
        <f t="shared" ref="I121:I138" si="8">IF(F121="","",INT(F121*H121))</f>
        <v/>
      </c>
      <c r="J121" s="64"/>
      <c r="K121" s="65"/>
      <c r="L121" s="66"/>
      <c r="M121" s="525"/>
      <c r="N121" s="520"/>
      <c r="O121" s="227"/>
      <c r="P121" s="228"/>
      <c r="Q121" s="229"/>
      <c r="R121" s="229"/>
      <c r="S121" s="229"/>
      <c r="T121" s="229"/>
      <c r="U121" s="229"/>
      <c r="V121" s="229"/>
      <c r="W121" s="229"/>
      <c r="X121" s="230"/>
      <c r="Y121" s="230"/>
      <c r="Z121" s="230"/>
      <c r="AA121" s="230"/>
      <c r="AB121" s="230"/>
      <c r="AC121" s="229"/>
      <c r="AD121" s="461"/>
      <c r="AE121" s="462"/>
      <c r="AF121" s="229"/>
      <c r="AG121" s="229"/>
      <c r="AH121" s="213"/>
    </row>
    <row r="122" spans="1:34" s="2586" customFormat="1" ht="24" customHeight="1">
      <c r="A122" s="2566">
        <v>4</v>
      </c>
      <c r="B122" s="2566">
        <v>4</v>
      </c>
      <c r="C122" s="2567">
        <v>1400301</v>
      </c>
      <c r="D122" s="2568" t="s">
        <v>3153</v>
      </c>
      <c r="E122" s="2569" t="s">
        <v>3154</v>
      </c>
      <c r="F122" s="2570">
        <v>4.4000000000000004</v>
      </c>
      <c r="G122" s="2571" t="s">
        <v>3155</v>
      </c>
      <c r="H122" s="2572">
        <v>4670</v>
      </c>
      <c r="I122" s="2573">
        <f>IF(F122="","",INT(F122*H122))</f>
        <v>20548</v>
      </c>
      <c r="J122" s="2574"/>
      <c r="K122" s="2575"/>
      <c r="L122" s="2576"/>
      <c r="M122" s="2577"/>
      <c r="N122" s="2578"/>
      <c r="O122" s="2579">
        <v>77</v>
      </c>
      <c r="P122" s="2580"/>
      <c r="Q122" s="2581"/>
      <c r="R122" s="2581"/>
      <c r="S122" s="2581"/>
      <c r="T122" s="2581"/>
      <c r="U122" s="2581"/>
      <c r="V122" s="2581"/>
      <c r="W122" s="2581"/>
      <c r="X122" s="2582"/>
      <c r="Y122" s="2582"/>
      <c r="Z122" s="2582"/>
      <c r="AA122" s="2582"/>
      <c r="AB122" s="2582"/>
      <c r="AC122" s="2581"/>
      <c r="AD122" s="2583"/>
      <c r="AE122" s="2584"/>
      <c r="AF122" s="2581"/>
      <c r="AG122" s="2581"/>
      <c r="AH122" s="2585"/>
    </row>
    <row r="123" spans="1:34" s="39" customFormat="1" ht="24" customHeight="1">
      <c r="A123" s="38"/>
      <c r="B123" s="38"/>
      <c r="C123" s="124"/>
      <c r="D123" s="125"/>
      <c r="E123" s="114"/>
      <c r="F123" s="274"/>
      <c r="G123" s="115"/>
      <c r="H123" s="131"/>
      <c r="I123" s="101" t="str">
        <f t="shared" si="8"/>
        <v/>
      </c>
      <c r="J123" s="64"/>
      <c r="K123" s="65"/>
      <c r="L123" s="66"/>
      <c r="M123" s="525"/>
      <c r="N123" s="520"/>
      <c r="O123" s="227"/>
      <c r="P123" s="228"/>
      <c r="Q123" s="229"/>
      <c r="R123" s="229"/>
      <c r="S123" s="229"/>
      <c r="T123" s="229"/>
      <c r="U123" s="229"/>
      <c r="V123" s="229"/>
      <c r="W123" s="229"/>
      <c r="X123" s="230"/>
      <c r="Y123" s="230"/>
      <c r="Z123" s="230"/>
      <c r="AA123" s="230"/>
      <c r="AB123" s="230"/>
      <c r="AC123" s="229"/>
      <c r="AD123" s="461"/>
      <c r="AE123" s="462"/>
      <c r="AF123" s="229"/>
      <c r="AG123" s="229"/>
      <c r="AH123" s="213"/>
    </row>
    <row r="124" spans="1:34" s="39" customFormat="1" ht="24" customHeight="1">
      <c r="A124" s="38"/>
      <c r="B124" s="38"/>
      <c r="C124" s="124"/>
      <c r="D124" s="125"/>
      <c r="E124" s="114"/>
      <c r="F124" s="274"/>
      <c r="G124" s="115"/>
      <c r="H124" s="131"/>
      <c r="I124" s="101" t="str">
        <f t="shared" si="8"/>
        <v/>
      </c>
      <c r="J124" s="64"/>
      <c r="K124" s="65"/>
      <c r="L124" s="66"/>
      <c r="M124" s="525"/>
      <c r="N124" s="520"/>
      <c r="O124" s="227"/>
      <c r="P124" s="228"/>
      <c r="Q124" s="229"/>
      <c r="R124" s="229"/>
      <c r="S124" s="229"/>
      <c r="T124" s="229"/>
      <c r="U124" s="229"/>
      <c r="V124" s="229"/>
      <c r="W124" s="229"/>
      <c r="X124" s="230"/>
      <c r="Y124" s="230"/>
      <c r="Z124" s="230"/>
      <c r="AA124" s="230"/>
      <c r="AB124" s="230"/>
      <c r="AC124" s="229"/>
      <c r="AD124" s="461"/>
      <c r="AE124" s="462"/>
      <c r="AF124" s="229"/>
      <c r="AG124" s="229"/>
      <c r="AH124" s="213"/>
    </row>
    <row r="125" spans="1:34" s="39" customFormat="1" ht="24" customHeight="1">
      <c r="A125" s="38"/>
      <c r="B125" s="38"/>
      <c r="C125" s="124"/>
      <c r="D125" s="125"/>
      <c r="E125" s="114"/>
      <c r="F125" s="274"/>
      <c r="G125" s="115"/>
      <c r="H125" s="131"/>
      <c r="I125" s="101" t="str">
        <f t="shared" si="8"/>
        <v/>
      </c>
      <c r="J125" s="64"/>
      <c r="K125" s="65"/>
      <c r="L125" s="66"/>
      <c r="M125" s="525"/>
      <c r="N125" s="520"/>
      <c r="O125" s="227"/>
      <c r="P125" s="228"/>
      <c r="Q125" s="229"/>
      <c r="R125" s="229"/>
      <c r="S125" s="229"/>
      <c r="T125" s="229"/>
      <c r="U125" s="229"/>
      <c r="V125" s="229"/>
      <c r="W125" s="229"/>
      <c r="X125" s="230"/>
      <c r="Y125" s="230"/>
      <c r="Z125" s="230"/>
      <c r="AA125" s="230"/>
      <c r="AB125" s="230"/>
      <c r="AC125" s="229"/>
      <c r="AD125" s="461"/>
      <c r="AE125" s="462"/>
      <c r="AF125" s="229"/>
      <c r="AG125" s="229"/>
      <c r="AH125" s="213"/>
    </row>
    <row r="126" spans="1:34" s="39" customFormat="1" ht="24" customHeight="1">
      <c r="A126" s="38"/>
      <c r="B126" s="38"/>
      <c r="C126" s="124"/>
      <c r="D126" s="125"/>
      <c r="E126" s="114"/>
      <c r="F126" s="274"/>
      <c r="G126" s="115"/>
      <c r="H126" s="131"/>
      <c r="I126" s="101" t="str">
        <f t="shared" si="8"/>
        <v/>
      </c>
      <c r="J126" s="64"/>
      <c r="K126" s="65"/>
      <c r="L126" s="66"/>
      <c r="M126" s="525"/>
      <c r="N126" s="520"/>
      <c r="O126" s="227"/>
      <c r="P126" s="228"/>
      <c r="Q126" s="229"/>
      <c r="R126" s="229"/>
      <c r="S126" s="229"/>
      <c r="T126" s="229"/>
      <c r="U126" s="229"/>
      <c r="V126" s="229"/>
      <c r="W126" s="229"/>
      <c r="X126" s="230"/>
      <c r="Y126" s="230"/>
      <c r="Z126" s="230"/>
      <c r="AA126" s="230"/>
      <c r="AB126" s="230"/>
      <c r="AC126" s="229"/>
      <c r="AD126" s="461"/>
      <c r="AE126" s="462"/>
      <c r="AF126" s="229"/>
      <c r="AG126" s="229"/>
      <c r="AH126" s="213"/>
    </row>
    <row r="127" spans="1:34" s="39" customFormat="1" ht="24" customHeight="1">
      <c r="A127" s="38"/>
      <c r="B127" s="38"/>
      <c r="C127" s="124"/>
      <c r="D127" s="125"/>
      <c r="E127" s="114"/>
      <c r="F127" s="274"/>
      <c r="G127" s="115"/>
      <c r="H127" s="131"/>
      <c r="I127" s="101" t="str">
        <f t="shared" si="8"/>
        <v/>
      </c>
      <c r="J127" s="64"/>
      <c r="K127" s="65"/>
      <c r="L127" s="66"/>
      <c r="M127" s="525"/>
      <c r="N127" s="520"/>
      <c r="O127" s="227"/>
      <c r="P127" s="228"/>
      <c r="Q127" s="229"/>
      <c r="R127" s="229"/>
      <c r="S127" s="229"/>
      <c r="T127" s="229"/>
      <c r="U127" s="229"/>
      <c r="V127" s="229"/>
      <c r="W127" s="229"/>
      <c r="X127" s="230"/>
      <c r="Y127" s="230"/>
      <c r="Z127" s="230"/>
      <c r="AA127" s="230"/>
      <c r="AB127" s="230"/>
      <c r="AC127" s="229"/>
      <c r="AD127" s="461"/>
      <c r="AE127" s="462"/>
      <c r="AF127" s="229"/>
      <c r="AG127" s="229"/>
      <c r="AH127" s="213"/>
    </row>
    <row r="128" spans="1:34" s="39" customFormat="1" ht="24" customHeight="1">
      <c r="A128" s="38"/>
      <c r="B128" s="38"/>
      <c r="C128" s="124"/>
      <c r="D128" s="125"/>
      <c r="E128" s="114"/>
      <c r="F128" s="274"/>
      <c r="G128" s="115"/>
      <c r="H128" s="131"/>
      <c r="I128" s="101" t="str">
        <f t="shared" si="8"/>
        <v/>
      </c>
      <c r="J128" s="64"/>
      <c r="K128" s="65"/>
      <c r="L128" s="66"/>
      <c r="M128" s="525"/>
      <c r="N128" s="520"/>
      <c r="O128" s="227"/>
      <c r="P128" s="228"/>
      <c r="Q128" s="229"/>
      <c r="R128" s="229"/>
      <c r="S128" s="229"/>
      <c r="T128" s="229"/>
      <c r="U128" s="229"/>
      <c r="V128" s="229"/>
      <c r="W128" s="229"/>
      <c r="X128" s="230"/>
      <c r="Y128" s="230"/>
      <c r="Z128" s="230"/>
      <c r="AA128" s="230"/>
      <c r="AB128" s="230"/>
      <c r="AC128" s="229"/>
      <c r="AD128" s="461"/>
      <c r="AE128" s="462"/>
      <c r="AF128" s="229"/>
      <c r="AG128" s="229"/>
      <c r="AH128" s="213"/>
    </row>
    <row r="129" spans="1:34" s="39" customFormat="1" ht="24" customHeight="1">
      <c r="A129" s="38"/>
      <c r="B129" s="38"/>
      <c r="C129" s="124"/>
      <c r="D129" s="125"/>
      <c r="E129" s="114"/>
      <c r="F129" s="274"/>
      <c r="G129" s="115"/>
      <c r="H129" s="131"/>
      <c r="I129" s="101" t="str">
        <f t="shared" si="8"/>
        <v/>
      </c>
      <c r="J129" s="64"/>
      <c r="K129" s="65"/>
      <c r="L129" s="66"/>
      <c r="M129" s="525"/>
      <c r="N129" s="520"/>
      <c r="O129" s="227"/>
      <c r="P129" s="228"/>
      <c r="Q129" s="229"/>
      <c r="R129" s="229"/>
      <c r="S129" s="229"/>
      <c r="T129" s="229"/>
      <c r="U129" s="229"/>
      <c r="V129" s="229"/>
      <c r="W129" s="229"/>
      <c r="X129" s="230"/>
      <c r="Y129" s="230"/>
      <c r="Z129" s="230"/>
      <c r="AA129" s="230"/>
      <c r="AB129" s="230"/>
      <c r="AC129" s="229"/>
      <c r="AD129" s="461"/>
      <c r="AE129" s="462"/>
      <c r="AF129" s="229"/>
      <c r="AG129" s="229"/>
      <c r="AH129" s="213"/>
    </row>
    <row r="130" spans="1:34" s="39" customFormat="1" ht="24" customHeight="1">
      <c r="A130" s="38"/>
      <c r="B130" s="38"/>
      <c r="C130" s="124"/>
      <c r="D130" s="125"/>
      <c r="E130" s="114"/>
      <c r="F130" s="274"/>
      <c r="G130" s="115"/>
      <c r="H130" s="131"/>
      <c r="I130" s="101" t="str">
        <f t="shared" si="8"/>
        <v/>
      </c>
      <c r="J130" s="64"/>
      <c r="K130" s="65"/>
      <c r="L130" s="66"/>
      <c r="M130" s="525"/>
      <c r="N130" s="520"/>
      <c r="O130" s="227"/>
      <c r="P130" s="228"/>
      <c r="Q130" s="229"/>
      <c r="R130" s="229"/>
      <c r="S130" s="229"/>
      <c r="T130" s="229"/>
      <c r="U130" s="229"/>
      <c r="V130" s="229"/>
      <c r="W130" s="229"/>
      <c r="X130" s="230"/>
      <c r="Y130" s="230"/>
      <c r="Z130" s="230"/>
      <c r="AA130" s="230"/>
      <c r="AB130" s="230"/>
      <c r="AC130" s="229"/>
      <c r="AD130" s="461"/>
      <c r="AE130" s="462"/>
      <c r="AF130" s="229"/>
      <c r="AG130" s="229"/>
      <c r="AH130" s="213"/>
    </row>
    <row r="131" spans="1:34" s="39" customFormat="1" ht="24" customHeight="1">
      <c r="A131" s="38"/>
      <c r="B131" s="38"/>
      <c r="C131" s="124"/>
      <c r="D131" s="125"/>
      <c r="E131" s="114"/>
      <c r="F131" s="274"/>
      <c r="G131" s="115"/>
      <c r="H131" s="131"/>
      <c r="I131" s="101" t="str">
        <f t="shared" si="8"/>
        <v/>
      </c>
      <c r="J131" s="64"/>
      <c r="K131" s="65"/>
      <c r="L131" s="66"/>
      <c r="M131" s="525"/>
      <c r="N131" s="520"/>
      <c r="O131" s="227"/>
      <c r="P131" s="228"/>
      <c r="Q131" s="229"/>
      <c r="R131" s="229"/>
      <c r="S131" s="229"/>
      <c r="T131" s="229"/>
      <c r="U131" s="229"/>
      <c r="V131" s="229"/>
      <c r="W131" s="229"/>
      <c r="X131" s="230"/>
      <c r="Y131" s="230"/>
      <c r="Z131" s="230"/>
      <c r="AA131" s="230"/>
      <c r="AB131" s="230"/>
      <c r="AC131" s="229"/>
      <c r="AD131" s="461"/>
      <c r="AE131" s="462"/>
      <c r="AF131" s="229"/>
      <c r="AG131" s="229"/>
      <c r="AH131" s="213"/>
    </row>
    <row r="132" spans="1:34" s="39" customFormat="1" ht="24" customHeight="1">
      <c r="A132" s="38"/>
      <c r="B132" s="38"/>
      <c r="C132" s="124"/>
      <c r="D132" s="125"/>
      <c r="E132" s="114"/>
      <c r="F132" s="274"/>
      <c r="G132" s="115"/>
      <c r="H132" s="131"/>
      <c r="I132" s="101" t="str">
        <f t="shared" si="8"/>
        <v/>
      </c>
      <c r="J132" s="64"/>
      <c r="K132" s="65"/>
      <c r="L132" s="66"/>
      <c r="M132" s="525"/>
      <c r="N132" s="520"/>
      <c r="O132" s="227"/>
      <c r="P132" s="228"/>
      <c r="Q132" s="229"/>
      <c r="R132" s="229"/>
      <c r="S132" s="229"/>
      <c r="T132" s="229"/>
      <c r="U132" s="229"/>
      <c r="V132" s="229"/>
      <c r="W132" s="229"/>
      <c r="X132" s="230"/>
      <c r="Y132" s="230"/>
      <c r="Z132" s="230"/>
      <c r="AA132" s="230"/>
      <c r="AB132" s="230"/>
      <c r="AC132" s="229"/>
      <c r="AD132" s="461"/>
      <c r="AE132" s="462"/>
      <c r="AF132" s="229"/>
      <c r="AG132" s="229"/>
      <c r="AH132" s="213"/>
    </row>
    <row r="133" spans="1:34" s="39" customFormat="1" ht="24" customHeight="1">
      <c r="A133" s="38"/>
      <c r="B133" s="38"/>
      <c r="C133" s="124"/>
      <c r="D133" s="125"/>
      <c r="E133" s="114"/>
      <c r="F133" s="274"/>
      <c r="G133" s="115"/>
      <c r="H133" s="131"/>
      <c r="I133" s="101" t="str">
        <f t="shared" si="8"/>
        <v/>
      </c>
      <c r="J133" s="64"/>
      <c r="K133" s="65"/>
      <c r="L133" s="66"/>
      <c r="M133" s="525"/>
      <c r="N133" s="520"/>
      <c r="O133" s="227"/>
      <c r="P133" s="228"/>
      <c r="Q133" s="229"/>
      <c r="R133" s="229"/>
      <c r="S133" s="229"/>
      <c r="T133" s="229"/>
      <c r="U133" s="229"/>
      <c r="V133" s="229"/>
      <c r="W133" s="229"/>
      <c r="X133" s="230"/>
      <c r="Y133" s="230"/>
      <c r="Z133" s="230"/>
      <c r="AA133" s="230"/>
      <c r="AB133" s="230"/>
      <c r="AC133" s="229"/>
      <c r="AD133" s="461"/>
      <c r="AE133" s="462"/>
      <c r="AF133" s="229"/>
      <c r="AG133" s="229"/>
      <c r="AH133" s="213"/>
    </row>
    <row r="134" spans="1:34" s="39" customFormat="1" ht="24" customHeight="1">
      <c r="A134" s="38"/>
      <c r="B134" s="38"/>
      <c r="C134" s="124"/>
      <c r="D134" s="125"/>
      <c r="E134" s="114"/>
      <c r="F134" s="274"/>
      <c r="G134" s="115"/>
      <c r="H134" s="131"/>
      <c r="I134" s="101" t="str">
        <f t="shared" si="8"/>
        <v/>
      </c>
      <c r="J134" s="64"/>
      <c r="K134" s="65"/>
      <c r="L134" s="66"/>
      <c r="M134" s="525"/>
      <c r="N134" s="520"/>
      <c r="O134" s="227"/>
      <c r="P134" s="228"/>
      <c r="Q134" s="229"/>
      <c r="R134" s="229"/>
      <c r="S134" s="229"/>
      <c r="T134" s="229"/>
      <c r="U134" s="229"/>
      <c r="V134" s="229"/>
      <c r="W134" s="229"/>
      <c r="X134" s="230"/>
      <c r="Y134" s="230"/>
      <c r="Z134" s="230"/>
      <c r="AA134" s="230"/>
      <c r="AB134" s="230"/>
      <c r="AC134" s="229"/>
      <c r="AD134" s="461"/>
      <c r="AE134" s="462"/>
      <c r="AF134" s="229"/>
      <c r="AG134" s="229"/>
      <c r="AH134" s="213"/>
    </row>
    <row r="135" spans="1:34" s="39" customFormat="1" ht="24" customHeight="1">
      <c r="A135" s="38"/>
      <c r="B135" s="38"/>
      <c r="C135" s="124"/>
      <c r="D135" s="125"/>
      <c r="E135" s="114"/>
      <c r="F135" s="274"/>
      <c r="G135" s="115"/>
      <c r="H135" s="131"/>
      <c r="I135" s="101" t="str">
        <f t="shared" si="8"/>
        <v/>
      </c>
      <c r="J135" s="64"/>
      <c r="K135" s="65"/>
      <c r="L135" s="66"/>
      <c r="M135" s="525"/>
      <c r="N135" s="520"/>
      <c r="O135" s="227"/>
      <c r="P135" s="228"/>
      <c r="Q135" s="229"/>
      <c r="R135" s="229"/>
      <c r="S135" s="229"/>
      <c r="T135" s="229"/>
      <c r="U135" s="229"/>
      <c r="V135" s="229"/>
      <c r="W135" s="229"/>
      <c r="X135" s="230"/>
      <c r="Y135" s="230"/>
      <c r="Z135" s="230"/>
      <c r="AA135" s="230"/>
      <c r="AB135" s="230"/>
      <c r="AC135" s="229"/>
      <c r="AD135" s="461"/>
      <c r="AE135" s="462"/>
      <c r="AF135" s="229"/>
      <c r="AG135" s="229"/>
      <c r="AH135" s="213"/>
    </row>
    <row r="136" spans="1:34" s="39" customFormat="1" ht="24" customHeight="1">
      <c r="A136" s="38"/>
      <c r="B136" s="38"/>
      <c r="C136" s="124"/>
      <c r="D136" s="125"/>
      <c r="E136" s="114"/>
      <c r="F136" s="274"/>
      <c r="G136" s="115"/>
      <c r="H136" s="131"/>
      <c r="I136" s="101" t="str">
        <f t="shared" si="8"/>
        <v/>
      </c>
      <c r="J136" s="64"/>
      <c r="K136" s="65"/>
      <c r="L136" s="66"/>
      <c r="M136" s="525"/>
      <c r="N136" s="520"/>
      <c r="O136" s="227"/>
      <c r="P136" s="228"/>
      <c r="Q136" s="229"/>
      <c r="R136" s="229"/>
      <c r="S136" s="229"/>
      <c r="T136" s="229"/>
      <c r="U136" s="229"/>
      <c r="V136" s="229"/>
      <c r="W136" s="229"/>
      <c r="X136" s="230"/>
      <c r="Y136" s="230"/>
      <c r="Z136" s="230"/>
      <c r="AA136" s="230"/>
      <c r="AB136" s="230"/>
      <c r="AC136" s="229"/>
      <c r="AD136" s="461"/>
      <c r="AE136" s="462"/>
      <c r="AF136" s="229"/>
      <c r="AG136" s="229"/>
      <c r="AH136" s="213"/>
    </row>
    <row r="137" spans="1:34" s="39" customFormat="1" ht="24" customHeight="1">
      <c r="A137" s="38"/>
      <c r="B137" s="38"/>
      <c r="C137" s="124"/>
      <c r="D137" s="125"/>
      <c r="E137" s="114"/>
      <c r="F137" s="274"/>
      <c r="G137" s="115"/>
      <c r="H137" s="131"/>
      <c r="I137" s="101" t="str">
        <f t="shared" si="8"/>
        <v/>
      </c>
      <c r="J137" s="64"/>
      <c r="K137" s="65"/>
      <c r="L137" s="66"/>
      <c r="M137" s="525"/>
      <c r="N137" s="520"/>
      <c r="O137" s="227"/>
      <c r="P137" s="228"/>
      <c r="Q137" s="229"/>
      <c r="R137" s="229"/>
      <c r="S137" s="229"/>
      <c r="T137" s="229"/>
      <c r="U137" s="229"/>
      <c r="V137" s="229"/>
      <c r="W137" s="229"/>
      <c r="X137" s="230"/>
      <c r="Y137" s="230"/>
      <c r="Z137" s="230"/>
      <c r="AA137" s="230"/>
      <c r="AB137" s="230"/>
      <c r="AC137" s="229"/>
      <c r="AD137" s="461"/>
      <c r="AE137" s="462"/>
      <c r="AF137" s="229"/>
      <c r="AG137" s="229"/>
      <c r="AH137" s="213"/>
    </row>
    <row r="138" spans="1:34" s="39" customFormat="1" ht="24" customHeight="1">
      <c r="A138" s="38"/>
      <c r="B138" s="38"/>
      <c r="C138" s="124"/>
      <c r="D138" s="125"/>
      <c r="E138" s="114"/>
      <c r="F138" s="274"/>
      <c r="G138" s="115"/>
      <c r="H138" s="131"/>
      <c r="I138" s="101" t="str">
        <f t="shared" si="8"/>
        <v/>
      </c>
      <c r="J138" s="64"/>
      <c r="K138" s="65"/>
      <c r="L138" s="66"/>
      <c r="M138" s="525"/>
      <c r="N138" s="520"/>
      <c r="O138" s="227"/>
      <c r="P138" s="228"/>
      <c r="Q138" s="229"/>
      <c r="R138" s="229"/>
      <c r="S138" s="229"/>
      <c r="T138" s="229"/>
      <c r="U138" s="229"/>
      <c r="V138" s="229"/>
      <c r="W138" s="229"/>
      <c r="X138" s="230"/>
      <c r="Y138" s="230"/>
      <c r="Z138" s="230"/>
      <c r="AA138" s="230"/>
      <c r="AB138" s="230"/>
      <c r="AC138" s="229"/>
      <c r="AD138" s="461"/>
      <c r="AE138" s="462"/>
      <c r="AF138" s="229"/>
      <c r="AG138" s="229"/>
      <c r="AH138" s="213"/>
    </row>
    <row r="139" spans="1:34" ht="24" customHeight="1" thickBot="1">
      <c r="A139" s="38"/>
      <c r="B139" s="38"/>
      <c r="C139" s="103"/>
      <c r="D139" s="92" t="s">
        <v>8</v>
      </c>
      <c r="E139" s="104"/>
      <c r="F139" s="275"/>
      <c r="G139" s="118"/>
      <c r="H139" s="127" t="s">
        <v>88</v>
      </c>
      <c r="I139" s="105">
        <f>SUM(I121:I138)</f>
        <v>20548</v>
      </c>
      <c r="J139" s="822" t="str">
        <f>IF(C120="部分撤去工事","）うち費用",")")</f>
        <v>)</v>
      </c>
      <c r="K139" s="821">
        <f>IF(C120="部分撤去工事",(K116+L139),0)</f>
        <v>0</v>
      </c>
      <c r="L139" s="820">
        <f>IF(C120="部分撤去工事",SUMIF(N121:N138,"費用",I121:I138),0)</f>
        <v>0</v>
      </c>
      <c r="M139" s="526"/>
      <c r="N139" s="527"/>
      <c r="O139" s="227"/>
      <c r="P139" s="228"/>
      <c r="Q139" s="229"/>
      <c r="R139" s="229"/>
      <c r="S139" s="229"/>
      <c r="T139" s="229"/>
      <c r="U139" s="229"/>
      <c r="V139" s="229"/>
      <c r="W139" s="229"/>
      <c r="X139" s="230"/>
      <c r="Y139" s="230"/>
      <c r="Z139" s="230"/>
      <c r="AA139" s="230"/>
      <c r="AB139" s="230"/>
      <c r="AC139" s="229"/>
      <c r="AD139" s="461"/>
      <c r="AE139" s="462"/>
      <c r="AF139" s="229"/>
      <c r="AG139" s="229"/>
      <c r="AH139" s="463"/>
    </row>
    <row r="140" spans="1:34" ht="14.25" customHeight="1">
      <c r="E140" s="120" t="s">
        <v>86</v>
      </c>
      <c r="F140" s="121">
        <f>+F117+1</f>
        <v>32</v>
      </c>
      <c r="G140" s="122" t="s">
        <v>87</v>
      </c>
      <c r="H140" s="123">
        <f>+H117</f>
        <v>35</v>
      </c>
      <c r="I140" s="123"/>
      <c r="M140" s="33" t="str">
        <f>IF(A142="","EOL","")</f>
        <v/>
      </c>
      <c r="N140" s="1">
        <f>+F140</f>
        <v>32</v>
      </c>
      <c r="Q140" s="39"/>
      <c r="R140" s="39"/>
      <c r="S140" s="39"/>
      <c r="T140" s="39"/>
      <c r="U140" s="39"/>
      <c r="V140" s="39"/>
      <c r="W140" s="39"/>
      <c r="X140" s="39"/>
      <c r="Y140" s="39"/>
      <c r="Z140" s="39"/>
    </row>
    <row r="141" spans="1:34" ht="26.25" customHeight="1" thickBot="1">
      <c r="C141" s="2822" t="s">
        <v>320</v>
      </c>
      <c r="D141" s="2822"/>
      <c r="E141" s="2822"/>
      <c r="F141" s="2822"/>
      <c r="G141" s="2822"/>
      <c r="H141" s="2822"/>
      <c r="I141" s="2822"/>
      <c r="J141" s="2822"/>
      <c r="K141" s="2822"/>
      <c r="L141" s="2822"/>
      <c r="O141" s="2823" t="s">
        <v>132</v>
      </c>
      <c r="P141" s="2823"/>
      <c r="Q141" s="2823"/>
      <c r="R141" s="2823"/>
      <c r="S141" s="2823"/>
      <c r="T141" s="2823"/>
      <c r="U141" s="2823"/>
      <c r="V141" s="2823"/>
      <c r="W141" s="2823"/>
      <c r="X141" s="2823"/>
      <c r="Y141" s="2823"/>
      <c r="Z141" s="2823"/>
      <c r="AA141" s="2823"/>
      <c r="AB141" s="2823"/>
      <c r="AC141" s="2823"/>
      <c r="AD141" s="2823"/>
      <c r="AE141" s="2823"/>
      <c r="AF141" s="2823"/>
      <c r="AG141" s="2823"/>
      <c r="AH141" s="2824"/>
    </row>
    <row r="142" spans="1:34" ht="41.25" customHeight="1">
      <c r="A142" s="5" t="s">
        <v>12</v>
      </c>
      <c r="B142" s="5" t="s">
        <v>44</v>
      </c>
      <c r="C142" s="110" t="s">
        <v>0</v>
      </c>
      <c r="D142" s="106"/>
      <c r="E142" s="107" t="s">
        <v>1</v>
      </c>
      <c r="F142" s="108" t="s">
        <v>2</v>
      </c>
      <c r="G142" s="108" t="s">
        <v>3</v>
      </c>
      <c r="H142" s="109" t="s">
        <v>4</v>
      </c>
      <c r="I142" s="109" t="s">
        <v>5</v>
      </c>
      <c r="J142" s="2825" t="s">
        <v>6</v>
      </c>
      <c r="K142" s="2826"/>
      <c r="L142" s="2827"/>
      <c r="M142" s="521"/>
      <c r="N142" s="522" t="s">
        <v>378</v>
      </c>
      <c r="O142" s="154" t="s">
        <v>67</v>
      </c>
      <c r="P142" s="386" t="s">
        <v>303</v>
      </c>
      <c r="Q142" s="276" t="s">
        <v>304</v>
      </c>
      <c r="R142" s="276" t="s">
        <v>212</v>
      </c>
      <c r="S142" s="276" t="s">
        <v>213</v>
      </c>
      <c r="T142" s="276" t="s">
        <v>305</v>
      </c>
      <c r="U142" s="276" t="s">
        <v>126</v>
      </c>
      <c r="V142" s="153" t="s">
        <v>125</v>
      </c>
      <c r="W142" s="276" t="s">
        <v>266</v>
      </c>
      <c r="X142" s="220" t="s">
        <v>214</v>
      </c>
      <c r="Y142" s="220" t="s">
        <v>215</v>
      </c>
      <c r="Z142" s="220" t="s">
        <v>216</v>
      </c>
      <c r="AA142" s="220" t="s">
        <v>217</v>
      </c>
      <c r="AB142" s="220" t="s">
        <v>312</v>
      </c>
      <c r="AC142" s="458" t="s">
        <v>313</v>
      </c>
      <c r="AD142" s="459" t="s">
        <v>314</v>
      </c>
      <c r="AE142" s="460" t="s">
        <v>128</v>
      </c>
      <c r="AF142" s="152" t="s">
        <v>315</v>
      </c>
      <c r="AG142" s="152" t="s">
        <v>129</v>
      </c>
      <c r="AH142" s="152" t="s">
        <v>130</v>
      </c>
    </row>
    <row r="143" spans="1:34" ht="24" customHeight="1">
      <c r="A143" s="38"/>
      <c r="B143" s="38"/>
      <c r="C143" s="128" t="s">
        <v>3031</v>
      </c>
      <c r="D143" s="129"/>
      <c r="E143" s="130"/>
      <c r="F143" s="273"/>
      <c r="G143" s="98"/>
      <c r="H143" s="90" t="s">
        <v>11</v>
      </c>
      <c r="I143" s="90" t="s">
        <v>11</v>
      </c>
      <c r="J143" s="2819"/>
      <c r="K143" s="2820"/>
      <c r="L143" s="2821"/>
      <c r="M143" s="523"/>
      <c r="N143" s="524"/>
      <c r="O143" s="227"/>
      <c r="P143" s="228"/>
      <c r="Q143" s="229"/>
      <c r="R143" s="229"/>
      <c r="S143" s="229"/>
      <c r="T143" s="229"/>
      <c r="U143" s="229"/>
      <c r="V143" s="229"/>
      <c r="W143" s="229"/>
      <c r="X143" s="230"/>
      <c r="Y143" s="230"/>
      <c r="Z143" s="230"/>
      <c r="AA143" s="230"/>
      <c r="AB143" s="230"/>
      <c r="AC143" s="229"/>
      <c r="AD143" s="461"/>
      <c r="AE143" s="462"/>
      <c r="AF143" s="229"/>
      <c r="AG143" s="229"/>
      <c r="AH143" s="463"/>
    </row>
    <row r="144" spans="1:34" s="39" customFormat="1" ht="24" customHeight="1">
      <c r="A144" s="38"/>
      <c r="B144" s="38"/>
      <c r="C144" s="124"/>
      <c r="D144" s="125"/>
      <c r="E144" s="114"/>
      <c r="F144" s="274"/>
      <c r="G144" s="115"/>
      <c r="H144" s="131"/>
      <c r="I144" s="101" t="str">
        <f t="shared" ref="I144:I161" si="9">IF(F144="","",INT(F144*H144))</f>
        <v/>
      </c>
      <c r="J144" s="64"/>
      <c r="K144" s="65"/>
      <c r="L144" s="66"/>
      <c r="M144" s="525"/>
      <c r="N144" s="520"/>
      <c r="O144" s="227"/>
      <c r="P144" s="228"/>
      <c r="Q144" s="229"/>
      <c r="R144" s="229"/>
      <c r="S144" s="229"/>
      <c r="T144" s="229"/>
      <c r="U144" s="229"/>
      <c r="V144" s="229"/>
      <c r="W144" s="229"/>
      <c r="X144" s="230"/>
      <c r="Y144" s="230"/>
      <c r="Z144" s="230"/>
      <c r="AA144" s="230"/>
      <c r="AB144" s="230"/>
      <c r="AC144" s="229"/>
      <c r="AD144" s="461"/>
      <c r="AE144" s="462"/>
      <c r="AF144" s="229"/>
      <c r="AG144" s="229"/>
      <c r="AH144" s="213"/>
    </row>
    <row r="145" spans="1:34" s="2586" customFormat="1" ht="24" customHeight="1">
      <c r="A145" s="2566"/>
      <c r="B145" s="2566"/>
      <c r="C145" s="2567"/>
      <c r="D145" s="2598"/>
      <c r="E145" s="2569"/>
      <c r="F145" s="2570"/>
      <c r="G145" s="2571"/>
      <c r="H145" s="2572"/>
      <c r="I145" s="2573" t="str">
        <f t="shared" si="9"/>
        <v/>
      </c>
      <c r="J145" s="2574"/>
      <c r="K145" s="2575"/>
      <c r="L145" s="2576"/>
      <c r="M145" s="2577"/>
      <c r="N145" s="2578"/>
      <c r="O145" s="2579"/>
      <c r="P145" s="2580"/>
      <c r="Q145" s="2581"/>
      <c r="R145" s="2581"/>
      <c r="S145" s="2581"/>
      <c r="T145" s="2581"/>
      <c r="U145" s="2581"/>
      <c r="V145" s="2581"/>
      <c r="W145" s="2581"/>
      <c r="X145" s="2582"/>
      <c r="Y145" s="2582"/>
      <c r="Z145" s="2582"/>
      <c r="AA145" s="2582"/>
      <c r="AB145" s="2582"/>
      <c r="AC145" s="2581"/>
      <c r="AD145" s="2583"/>
      <c r="AE145" s="2584"/>
      <c r="AF145" s="2581"/>
      <c r="AG145" s="2581"/>
      <c r="AH145" s="2585"/>
    </row>
    <row r="146" spans="1:34" s="2586" customFormat="1" ht="24" customHeight="1">
      <c r="A146" s="2566">
        <v>4</v>
      </c>
      <c r="B146" s="2566">
        <v>4</v>
      </c>
      <c r="C146" s="2567">
        <v>25012</v>
      </c>
      <c r="D146" s="2568" t="s">
        <v>3156</v>
      </c>
      <c r="E146" s="2569" t="s">
        <v>3157</v>
      </c>
      <c r="F146" s="2570">
        <v>4.4000000000000004</v>
      </c>
      <c r="G146" s="2571" t="s">
        <v>3158</v>
      </c>
      <c r="H146" s="2572">
        <v>29100</v>
      </c>
      <c r="I146" s="101">
        <f>IF(F146="","",INT(F146*H146))</f>
        <v>128040</v>
      </c>
      <c r="J146" s="2574" t="s">
        <v>3159</v>
      </c>
      <c r="K146" s="2575"/>
      <c r="L146" s="2576"/>
      <c r="M146" s="2577"/>
      <c r="N146" s="2578" t="s">
        <v>3234</v>
      </c>
      <c r="O146" s="2579"/>
      <c r="P146" s="2580">
        <v>60</v>
      </c>
      <c r="Q146" s="2581"/>
      <c r="R146" s="2581"/>
      <c r="S146" s="2581"/>
      <c r="T146" s="2581"/>
      <c r="U146" s="2581">
        <v>20</v>
      </c>
      <c r="V146" s="2581"/>
      <c r="W146" s="2581"/>
      <c r="X146" s="2582"/>
      <c r="Y146" s="2582"/>
      <c r="Z146" s="2582"/>
      <c r="AA146" s="2582"/>
      <c r="AB146" s="2582"/>
      <c r="AC146" s="2581"/>
      <c r="AD146" s="2583"/>
      <c r="AE146" s="2584"/>
      <c r="AF146" s="2581"/>
      <c r="AG146" s="2581"/>
      <c r="AH146" s="2585"/>
    </row>
    <row r="147" spans="1:34" s="2586" customFormat="1" ht="24" customHeight="1">
      <c r="A147" s="2566">
        <v>4</v>
      </c>
      <c r="B147" s="2566">
        <v>4</v>
      </c>
      <c r="C147" s="2567">
        <v>23090</v>
      </c>
      <c r="D147" s="2568" t="s">
        <v>3160</v>
      </c>
      <c r="E147" s="2569" t="s">
        <v>3161</v>
      </c>
      <c r="F147" s="2570">
        <v>17.600000000000001</v>
      </c>
      <c r="G147" s="2571" t="s">
        <v>3162</v>
      </c>
      <c r="H147" s="2572">
        <v>2280</v>
      </c>
      <c r="I147" s="101">
        <f>IF(F147="","",INT(F147*H147))</f>
        <v>40128</v>
      </c>
      <c r="J147" s="2574" t="s">
        <v>3163</v>
      </c>
      <c r="K147" s="2575"/>
      <c r="L147" s="2576"/>
      <c r="M147" s="2577"/>
      <c r="N147" s="2578" t="s">
        <v>3234</v>
      </c>
      <c r="O147" s="2579">
        <v>0</v>
      </c>
      <c r="P147" s="2580"/>
      <c r="Q147" s="2581"/>
      <c r="R147" s="2581"/>
      <c r="S147" s="2581"/>
      <c r="T147" s="2581"/>
      <c r="U147" s="2581"/>
      <c r="V147" s="2581"/>
      <c r="W147" s="2581"/>
      <c r="X147" s="2582"/>
      <c r="Y147" s="2582"/>
      <c r="Z147" s="2582"/>
      <c r="AA147" s="2582"/>
      <c r="AB147" s="2582"/>
      <c r="AC147" s="2581"/>
      <c r="AD147" s="2583"/>
      <c r="AE147" s="2584"/>
      <c r="AF147" s="2581"/>
      <c r="AG147" s="2581"/>
      <c r="AH147" s="2585"/>
    </row>
    <row r="148" spans="1:34" s="2586" customFormat="1" ht="24" customHeight="1">
      <c r="A148" s="2566"/>
      <c r="B148" s="2566"/>
      <c r="C148" s="2567"/>
      <c r="D148" s="2598"/>
      <c r="E148" s="2569"/>
      <c r="F148" s="2570"/>
      <c r="G148" s="2571"/>
      <c r="H148" s="2572"/>
      <c r="I148" s="2573" t="str">
        <f t="shared" si="9"/>
        <v/>
      </c>
      <c r="J148" s="2574"/>
      <c r="K148" s="2575"/>
      <c r="L148" s="2576"/>
      <c r="M148" s="2577"/>
      <c r="N148" s="2578"/>
      <c r="O148" s="2579"/>
      <c r="P148" s="2580"/>
      <c r="Q148" s="2581"/>
      <c r="R148" s="2581"/>
      <c r="S148" s="2581"/>
      <c r="T148" s="2581"/>
      <c r="U148" s="2581"/>
      <c r="V148" s="2581"/>
      <c r="W148" s="2581"/>
      <c r="X148" s="2582"/>
      <c r="Y148" s="2582"/>
      <c r="Z148" s="2582"/>
      <c r="AA148" s="2582"/>
      <c r="AB148" s="2582"/>
      <c r="AC148" s="2581"/>
      <c r="AD148" s="2583"/>
      <c r="AE148" s="2584"/>
      <c r="AF148" s="2581"/>
      <c r="AG148" s="2581"/>
      <c r="AH148" s="2585"/>
    </row>
    <row r="149" spans="1:34" s="2586" customFormat="1" ht="24" customHeight="1">
      <c r="A149" s="2566"/>
      <c r="B149" s="2566"/>
      <c r="C149" s="2567"/>
      <c r="D149" s="2598"/>
      <c r="E149" s="2569"/>
      <c r="F149" s="2570"/>
      <c r="G149" s="2571"/>
      <c r="H149" s="2572"/>
      <c r="I149" s="2573" t="str">
        <f t="shared" si="9"/>
        <v/>
      </c>
      <c r="J149" s="2574"/>
      <c r="K149" s="2575"/>
      <c r="L149" s="2576"/>
      <c r="M149" s="2577"/>
      <c r="N149" s="2578"/>
      <c r="O149" s="2579"/>
      <c r="P149" s="2580"/>
      <c r="Q149" s="2581"/>
      <c r="R149" s="2581"/>
      <c r="S149" s="2581"/>
      <c r="T149" s="2581"/>
      <c r="U149" s="2581"/>
      <c r="V149" s="2581"/>
      <c r="W149" s="2581"/>
      <c r="X149" s="2582"/>
      <c r="Y149" s="2582"/>
      <c r="Z149" s="2582"/>
      <c r="AA149" s="2582"/>
      <c r="AB149" s="2582"/>
      <c r="AC149" s="2581"/>
      <c r="AD149" s="2583"/>
      <c r="AE149" s="2584"/>
      <c r="AF149" s="2581"/>
      <c r="AG149" s="2581"/>
      <c r="AH149" s="2585"/>
    </row>
    <row r="150" spans="1:34" s="2586" customFormat="1" ht="24" customHeight="1">
      <c r="A150" s="2566">
        <v>4</v>
      </c>
      <c r="B150" s="2566">
        <v>4</v>
      </c>
      <c r="C150" s="2567">
        <v>20060</v>
      </c>
      <c r="D150" s="2568" t="s">
        <v>3245</v>
      </c>
      <c r="E150" s="2569" t="s">
        <v>3252</v>
      </c>
      <c r="F150" s="2570">
        <v>0.68</v>
      </c>
      <c r="G150" s="2571" t="s">
        <v>3262</v>
      </c>
      <c r="H150" s="2572">
        <v>920</v>
      </c>
      <c r="I150" s="2573">
        <f>IF(F150="","",INT(F150*H150))</f>
        <v>625</v>
      </c>
      <c r="J150" s="2574" t="s">
        <v>3263</v>
      </c>
      <c r="K150" s="2575"/>
      <c r="L150" s="2576"/>
      <c r="M150" s="2577"/>
      <c r="N150" s="2578" t="s">
        <v>3234</v>
      </c>
      <c r="O150" s="2579">
        <v>0</v>
      </c>
      <c r="P150" s="2580"/>
      <c r="Q150" s="2581"/>
      <c r="R150" s="2581"/>
      <c r="S150" s="2581"/>
      <c r="T150" s="2581"/>
      <c r="U150" s="2581"/>
      <c r="V150" s="2581"/>
      <c r="W150" s="2581"/>
      <c r="X150" s="2582"/>
      <c r="Y150" s="2582"/>
      <c r="Z150" s="2582"/>
      <c r="AA150" s="2582"/>
      <c r="AB150" s="2582"/>
      <c r="AC150" s="2581"/>
      <c r="AD150" s="2583"/>
      <c r="AE150" s="2584"/>
      <c r="AF150" s="2581"/>
      <c r="AG150" s="2581"/>
      <c r="AH150" s="2585"/>
    </row>
    <row r="151" spans="1:34" s="2586" customFormat="1" ht="24" customHeight="1">
      <c r="A151" s="2566">
        <v>4</v>
      </c>
      <c r="B151" s="2566">
        <v>4</v>
      </c>
      <c r="C151" s="2567">
        <v>20061</v>
      </c>
      <c r="D151" s="2568" t="s">
        <v>3245</v>
      </c>
      <c r="E151" s="2569" t="s">
        <v>3242</v>
      </c>
      <c r="F151" s="2570">
        <v>1</v>
      </c>
      <c r="G151" s="2571" t="s">
        <v>3257</v>
      </c>
      <c r="H151" s="2572">
        <f>10900*L151:L152</f>
        <v>25069.999999999996</v>
      </c>
      <c r="I151" s="2573">
        <f>IF(F151="","",INT(F151*H151))</f>
        <v>25070</v>
      </c>
      <c r="J151" s="2574" t="s">
        <v>3264</v>
      </c>
      <c r="K151" s="2575"/>
      <c r="L151" s="2576">
        <v>2.2999999999999998</v>
      </c>
      <c r="M151" s="2577"/>
      <c r="N151" s="2578" t="s">
        <v>3234</v>
      </c>
      <c r="O151" s="2579">
        <v>0</v>
      </c>
      <c r="P151" s="2580"/>
      <c r="Q151" s="2581"/>
      <c r="R151" s="2581"/>
      <c r="S151" s="2581"/>
      <c r="T151" s="2581"/>
      <c r="U151" s="2581"/>
      <c r="V151" s="2581"/>
      <c r="W151" s="2581"/>
      <c r="X151" s="2582"/>
      <c r="Y151" s="2582"/>
      <c r="Z151" s="2582"/>
      <c r="AA151" s="2582"/>
      <c r="AB151" s="2582"/>
      <c r="AC151" s="2581"/>
      <c r="AD151" s="2583"/>
      <c r="AE151" s="2584"/>
      <c r="AF151" s="2581"/>
      <c r="AG151" s="2581"/>
      <c r="AH151" s="2585"/>
    </row>
    <row r="152" spans="1:34" s="2586" customFormat="1" ht="24" customHeight="1">
      <c r="A152" s="2566"/>
      <c r="B152" s="2566"/>
      <c r="C152" s="2567"/>
      <c r="D152" s="2598"/>
      <c r="E152" s="2569"/>
      <c r="F152" s="2570"/>
      <c r="G152" s="2571"/>
      <c r="H152" s="2572"/>
      <c r="I152" s="2573" t="str">
        <f t="shared" si="9"/>
        <v/>
      </c>
      <c r="J152" s="2574"/>
      <c r="K152" s="2575"/>
      <c r="L152" s="2576"/>
      <c r="M152" s="2577"/>
      <c r="N152" s="2578"/>
      <c r="O152" s="2579"/>
      <c r="P152" s="2580"/>
      <c r="Q152" s="2581"/>
      <c r="R152" s="2581"/>
      <c r="S152" s="2581"/>
      <c r="T152" s="2581"/>
      <c r="U152" s="2581"/>
      <c r="V152" s="2581"/>
      <c r="W152" s="2581"/>
      <c r="X152" s="2582"/>
      <c r="Y152" s="2582"/>
      <c r="Z152" s="2582"/>
      <c r="AA152" s="2582"/>
      <c r="AB152" s="2582"/>
      <c r="AC152" s="2581"/>
      <c r="AD152" s="2583"/>
      <c r="AE152" s="2584"/>
      <c r="AF152" s="2581"/>
      <c r="AG152" s="2581"/>
      <c r="AH152" s="2585"/>
    </row>
    <row r="153" spans="1:34" s="2586" customFormat="1" ht="24" customHeight="1">
      <c r="A153" s="2566">
        <v>4</v>
      </c>
      <c r="B153" s="2566">
        <v>4</v>
      </c>
      <c r="C153" s="2567">
        <v>24020</v>
      </c>
      <c r="D153" s="2568" t="s">
        <v>3255</v>
      </c>
      <c r="E153" s="2569" t="s">
        <v>3265</v>
      </c>
      <c r="F153" s="2570">
        <v>0.35</v>
      </c>
      <c r="G153" s="2571" t="s">
        <v>3257</v>
      </c>
      <c r="H153" s="2572">
        <v>4410</v>
      </c>
      <c r="I153" s="2573">
        <f>IF(F153="","",INT(F153*H153))</f>
        <v>1543</v>
      </c>
      <c r="J153" s="2574"/>
      <c r="K153" s="2575"/>
      <c r="L153" s="2576"/>
      <c r="M153" s="2577"/>
      <c r="N153" s="2578" t="s">
        <v>3234</v>
      </c>
      <c r="O153" s="2579">
        <v>0</v>
      </c>
      <c r="P153" s="2580"/>
      <c r="Q153" s="2581"/>
      <c r="R153" s="2581"/>
      <c r="S153" s="2581"/>
      <c r="T153" s="2581"/>
      <c r="U153" s="2581"/>
      <c r="V153" s="2581"/>
      <c r="W153" s="2581"/>
      <c r="X153" s="2582"/>
      <c r="Y153" s="2582"/>
      <c r="Z153" s="2582"/>
      <c r="AA153" s="2582"/>
      <c r="AB153" s="2582"/>
      <c r="AC153" s="2581"/>
      <c r="AD153" s="2583"/>
      <c r="AE153" s="2584"/>
      <c r="AF153" s="2581"/>
      <c r="AG153" s="2581"/>
      <c r="AH153" s="2585"/>
    </row>
    <row r="154" spans="1:34" s="2586" customFormat="1" ht="24" customHeight="1">
      <c r="A154" s="2566"/>
      <c r="B154" s="2566"/>
      <c r="C154" s="2567"/>
      <c r="D154" s="2598"/>
      <c r="E154" s="2569"/>
      <c r="F154" s="2570"/>
      <c r="G154" s="2571"/>
      <c r="H154" s="2572"/>
      <c r="I154" s="2573" t="str">
        <f t="shared" si="9"/>
        <v/>
      </c>
      <c r="J154" s="2574"/>
      <c r="K154" s="2575"/>
      <c r="L154" s="2576"/>
      <c r="M154" s="2577"/>
      <c r="N154" s="2578"/>
      <c r="O154" s="2579"/>
      <c r="P154" s="2580"/>
      <c r="Q154" s="2581"/>
      <c r="R154" s="2581"/>
      <c r="S154" s="2581"/>
      <c r="T154" s="2581"/>
      <c r="U154" s="2581"/>
      <c r="V154" s="2581"/>
      <c r="W154" s="2581"/>
      <c r="X154" s="2582"/>
      <c r="Y154" s="2582"/>
      <c r="Z154" s="2582"/>
      <c r="AA154" s="2582"/>
      <c r="AB154" s="2582"/>
      <c r="AC154" s="2581"/>
      <c r="AD154" s="2583"/>
      <c r="AE154" s="2584"/>
      <c r="AF154" s="2581"/>
      <c r="AG154" s="2581"/>
      <c r="AH154" s="2585"/>
    </row>
    <row r="155" spans="1:34" s="2586" customFormat="1" ht="24" customHeight="1">
      <c r="A155" s="2566">
        <v>4</v>
      </c>
      <c r="B155" s="2566">
        <v>4</v>
      </c>
      <c r="C155" s="2567">
        <v>24063</v>
      </c>
      <c r="D155" s="2568" t="s">
        <v>3343</v>
      </c>
      <c r="E155" s="2569" t="s">
        <v>3344</v>
      </c>
      <c r="F155" s="2570">
        <v>0.26</v>
      </c>
      <c r="G155" s="2571" t="s">
        <v>3345</v>
      </c>
      <c r="H155" s="2572">
        <v>1180</v>
      </c>
      <c r="I155" s="101">
        <f>IF(F155="","",INT(F155*H155))</f>
        <v>306</v>
      </c>
      <c r="J155" s="2574"/>
      <c r="K155" s="2575"/>
      <c r="L155" s="2576"/>
      <c r="M155" s="2577" t="s">
        <v>3347</v>
      </c>
      <c r="N155" s="2578" t="s">
        <v>3234</v>
      </c>
      <c r="O155" s="2579">
        <v>0</v>
      </c>
      <c r="P155" s="2580"/>
      <c r="Q155" s="2581"/>
      <c r="R155" s="2581"/>
      <c r="S155" s="2581"/>
      <c r="T155" s="2581"/>
      <c r="U155" s="2581"/>
      <c r="V155" s="2581"/>
      <c r="W155" s="2581"/>
      <c r="X155" s="2582"/>
      <c r="Y155" s="2582"/>
      <c r="Z155" s="2582"/>
      <c r="AA155" s="2582"/>
      <c r="AB155" s="2582"/>
      <c r="AC155" s="2581"/>
      <c r="AD155" s="2583"/>
      <c r="AE155" s="2584"/>
      <c r="AF155" s="2581"/>
      <c r="AG155" s="2581"/>
      <c r="AH155" s="2585"/>
    </row>
    <row r="156" spans="1:34" s="2586" customFormat="1" ht="24" customHeight="1">
      <c r="A156" s="2566">
        <v>4</v>
      </c>
      <c r="B156" s="2566">
        <v>4</v>
      </c>
      <c r="C156" s="2567">
        <v>24006</v>
      </c>
      <c r="D156" s="2568" t="s">
        <v>3343</v>
      </c>
      <c r="E156" s="2569" t="s">
        <v>3346</v>
      </c>
      <c r="F156" s="2570">
        <v>0.09</v>
      </c>
      <c r="G156" s="2571" t="s">
        <v>167</v>
      </c>
      <c r="H156" s="2572">
        <v>10000</v>
      </c>
      <c r="I156" s="101">
        <f>IF(F156="","",INT(F156*H156))</f>
        <v>900</v>
      </c>
      <c r="J156" s="2574"/>
      <c r="K156" s="2575"/>
      <c r="L156" s="2576"/>
      <c r="M156" s="2577" t="s">
        <v>3347</v>
      </c>
      <c r="N156" s="2578" t="s">
        <v>3234</v>
      </c>
      <c r="O156" s="2579">
        <v>0</v>
      </c>
      <c r="P156" s="2580"/>
      <c r="Q156" s="2581"/>
      <c r="R156" s="2581"/>
      <c r="S156" s="2581"/>
      <c r="T156" s="2581"/>
      <c r="U156" s="2581"/>
      <c r="V156" s="2581"/>
      <c r="W156" s="2581"/>
      <c r="X156" s="2582"/>
      <c r="Y156" s="2582"/>
      <c r="Z156" s="2582"/>
      <c r="AA156" s="2582"/>
      <c r="AB156" s="2582"/>
      <c r="AC156" s="2581"/>
      <c r="AD156" s="2583"/>
      <c r="AE156" s="2584"/>
      <c r="AF156" s="2581"/>
      <c r="AG156" s="2581"/>
      <c r="AH156" s="2585"/>
    </row>
    <row r="157" spans="1:34" s="2586" customFormat="1" ht="24" customHeight="1">
      <c r="A157" s="2566"/>
      <c r="B157" s="2566"/>
      <c r="C157" s="2567"/>
      <c r="D157" s="2598"/>
      <c r="E157" s="2569"/>
      <c r="F157" s="2570"/>
      <c r="G157" s="2571"/>
      <c r="H157" s="2572"/>
      <c r="I157" s="2573" t="str">
        <f t="shared" si="9"/>
        <v/>
      </c>
      <c r="J157" s="2574"/>
      <c r="K157" s="2575"/>
      <c r="L157" s="2576"/>
      <c r="M157" s="2577"/>
      <c r="N157" s="2578"/>
      <c r="O157" s="2579"/>
      <c r="P157" s="2580"/>
      <c r="Q157" s="2581"/>
      <c r="R157" s="2581"/>
      <c r="S157" s="2581"/>
      <c r="T157" s="2581"/>
      <c r="U157" s="2581"/>
      <c r="V157" s="2581"/>
      <c r="W157" s="2581"/>
      <c r="X157" s="2582"/>
      <c r="Y157" s="2582"/>
      <c r="Z157" s="2582"/>
      <c r="AA157" s="2582"/>
      <c r="AB157" s="2582"/>
      <c r="AC157" s="2581"/>
      <c r="AD157" s="2583"/>
      <c r="AE157" s="2584"/>
      <c r="AF157" s="2581"/>
      <c r="AG157" s="2581"/>
      <c r="AH157" s="2585"/>
    </row>
    <row r="158" spans="1:34" s="2586" customFormat="1" ht="24" customHeight="1">
      <c r="A158" s="2566"/>
      <c r="B158" s="2566"/>
      <c r="C158" s="2567"/>
      <c r="D158" s="2598"/>
      <c r="E158" s="2569"/>
      <c r="F158" s="2570"/>
      <c r="G158" s="2571"/>
      <c r="H158" s="2572"/>
      <c r="I158" s="2573" t="str">
        <f t="shared" si="9"/>
        <v/>
      </c>
      <c r="J158" s="2574"/>
      <c r="K158" s="2575"/>
      <c r="L158" s="2576"/>
      <c r="M158" s="2577"/>
      <c r="N158" s="2578"/>
      <c r="O158" s="2579"/>
      <c r="P158" s="2580"/>
      <c r="Q158" s="2581"/>
      <c r="R158" s="2581"/>
      <c r="S158" s="2581"/>
      <c r="T158" s="2581"/>
      <c r="U158" s="2581"/>
      <c r="V158" s="2581"/>
      <c r="W158" s="2581"/>
      <c r="X158" s="2582"/>
      <c r="Y158" s="2582"/>
      <c r="Z158" s="2582"/>
      <c r="AA158" s="2582"/>
      <c r="AB158" s="2582"/>
      <c r="AC158" s="2581"/>
      <c r="AD158" s="2583"/>
      <c r="AE158" s="2584"/>
      <c r="AF158" s="2581"/>
      <c r="AG158" s="2581"/>
      <c r="AH158" s="2585"/>
    </row>
    <row r="159" spans="1:34" s="2586" customFormat="1" ht="24" customHeight="1">
      <c r="A159" s="2566"/>
      <c r="B159" s="2566"/>
      <c r="C159" s="2567"/>
      <c r="D159" s="2598"/>
      <c r="E159" s="2569"/>
      <c r="F159" s="2570"/>
      <c r="G159" s="2571"/>
      <c r="H159" s="2572"/>
      <c r="I159" s="2573" t="str">
        <f t="shared" si="9"/>
        <v/>
      </c>
      <c r="J159" s="2574"/>
      <c r="K159" s="2575"/>
      <c r="L159" s="2576"/>
      <c r="M159" s="2577"/>
      <c r="N159" s="2578"/>
      <c r="O159" s="2579"/>
      <c r="P159" s="2580"/>
      <c r="Q159" s="2581"/>
      <c r="R159" s="2581"/>
      <c r="S159" s="2581"/>
      <c r="T159" s="2581"/>
      <c r="U159" s="2581"/>
      <c r="V159" s="2581"/>
      <c r="W159" s="2581"/>
      <c r="X159" s="2582"/>
      <c r="Y159" s="2582"/>
      <c r="Z159" s="2582"/>
      <c r="AA159" s="2582"/>
      <c r="AB159" s="2582"/>
      <c r="AC159" s="2581"/>
      <c r="AD159" s="2583"/>
      <c r="AE159" s="2584"/>
      <c r="AF159" s="2581"/>
      <c r="AG159" s="2581"/>
      <c r="AH159" s="2585"/>
    </row>
    <row r="160" spans="1:34" s="39" customFormat="1" ht="24" customHeight="1">
      <c r="A160" s="38"/>
      <c r="B160" s="38"/>
      <c r="C160" s="124"/>
      <c r="D160" s="125"/>
      <c r="E160" s="114"/>
      <c r="F160" s="274"/>
      <c r="G160" s="115"/>
      <c r="H160" s="131"/>
      <c r="I160" s="101" t="str">
        <f t="shared" si="9"/>
        <v/>
      </c>
      <c r="J160" s="64"/>
      <c r="K160" s="65"/>
      <c r="L160" s="66"/>
      <c r="M160" s="525"/>
      <c r="N160" s="520"/>
      <c r="O160" s="227"/>
      <c r="P160" s="228"/>
      <c r="Q160" s="229"/>
      <c r="R160" s="229"/>
      <c r="S160" s="229"/>
      <c r="T160" s="229"/>
      <c r="U160" s="229"/>
      <c r="V160" s="229"/>
      <c r="W160" s="229"/>
      <c r="X160" s="230"/>
      <c r="Y160" s="230"/>
      <c r="Z160" s="230"/>
      <c r="AA160" s="230"/>
      <c r="AB160" s="230"/>
      <c r="AC160" s="229"/>
      <c r="AD160" s="461"/>
      <c r="AE160" s="462"/>
      <c r="AF160" s="229"/>
      <c r="AG160" s="229"/>
      <c r="AH160" s="213"/>
    </row>
    <row r="161" spans="1:34" s="39" customFormat="1" ht="24" customHeight="1">
      <c r="A161" s="38"/>
      <c r="B161" s="38"/>
      <c r="C161" s="124"/>
      <c r="D161" s="125"/>
      <c r="E161" s="114"/>
      <c r="F161" s="274"/>
      <c r="G161" s="115"/>
      <c r="H161" s="131"/>
      <c r="I161" s="101" t="str">
        <f t="shared" si="9"/>
        <v/>
      </c>
      <c r="J161" s="64"/>
      <c r="K161" s="65"/>
      <c r="L161" s="66"/>
      <c r="M161" s="525"/>
      <c r="N161" s="520"/>
      <c r="O161" s="227"/>
      <c r="P161" s="228"/>
      <c r="Q161" s="229"/>
      <c r="R161" s="229"/>
      <c r="S161" s="229"/>
      <c r="T161" s="229"/>
      <c r="U161" s="229"/>
      <c r="V161" s="229"/>
      <c r="W161" s="229"/>
      <c r="X161" s="230"/>
      <c r="Y161" s="230"/>
      <c r="Z161" s="230"/>
      <c r="AA161" s="230"/>
      <c r="AB161" s="230"/>
      <c r="AC161" s="229"/>
      <c r="AD161" s="461"/>
      <c r="AE161" s="462"/>
      <c r="AF161" s="229"/>
      <c r="AG161" s="229"/>
      <c r="AH161" s="213"/>
    </row>
    <row r="162" spans="1:34" ht="24" customHeight="1" thickBot="1">
      <c r="A162" s="38"/>
      <c r="B162" s="38"/>
      <c r="C162" s="103"/>
      <c r="D162" s="92" t="s">
        <v>8</v>
      </c>
      <c r="E162" s="104"/>
      <c r="F162" s="275"/>
      <c r="G162" s="118"/>
      <c r="H162" s="127" t="s">
        <v>88</v>
      </c>
      <c r="I162" s="105">
        <f>SUM(I144:I161)</f>
        <v>196612</v>
      </c>
      <c r="J162" s="822" t="str">
        <f>IF(C143="部分撤去工事","）うち費用",")")</f>
        <v>）うち費用</v>
      </c>
      <c r="K162" s="821">
        <f>IF(C143="部分撤去工事",(K116+L162),0)</f>
        <v>196612</v>
      </c>
      <c r="L162" s="820">
        <f>IF(C143="部分撤去工事",SUMIF(N144:N161,"費用",I144:I161),0)</f>
        <v>196612</v>
      </c>
      <c r="M162" s="526"/>
      <c r="N162" s="527"/>
      <c r="O162" s="227"/>
      <c r="P162" s="228"/>
      <c r="Q162" s="229"/>
      <c r="R162" s="229"/>
      <c r="S162" s="229"/>
      <c r="T162" s="229"/>
      <c r="U162" s="229"/>
      <c r="V162" s="229"/>
      <c r="W162" s="229"/>
      <c r="X162" s="230"/>
      <c r="Y162" s="230"/>
      <c r="Z162" s="230"/>
      <c r="AA162" s="230"/>
      <c r="AB162" s="230"/>
      <c r="AC162" s="229"/>
      <c r="AD162" s="461"/>
      <c r="AE162" s="462"/>
      <c r="AF162" s="229"/>
      <c r="AG162" s="229"/>
      <c r="AH162" s="463"/>
    </row>
    <row r="163" spans="1:34" ht="14.25" customHeight="1">
      <c r="E163" s="120" t="s">
        <v>86</v>
      </c>
      <c r="F163" s="121">
        <f>+F140+1</f>
        <v>33</v>
      </c>
      <c r="G163" s="122" t="s">
        <v>87</v>
      </c>
      <c r="H163" s="123">
        <f>+H140</f>
        <v>35</v>
      </c>
      <c r="I163" s="123"/>
      <c r="M163" s="33" t="str">
        <f>IF(A165="","EOL","")</f>
        <v>EOL</v>
      </c>
      <c r="N163" s="1">
        <f>+F163</f>
        <v>33</v>
      </c>
      <c r="Q163" s="39"/>
      <c r="R163" s="39"/>
      <c r="S163" s="39"/>
      <c r="T163" s="39"/>
      <c r="U163" s="39"/>
      <c r="V163" s="39"/>
      <c r="W163" s="39"/>
      <c r="X163" s="39"/>
      <c r="Y163" s="39"/>
      <c r="Z163" s="39"/>
    </row>
  </sheetData>
  <mergeCells count="28">
    <mergeCell ref="J51:L51"/>
    <mergeCell ref="C3:L3"/>
    <mergeCell ref="O3:AG3"/>
    <mergeCell ref="J4:L4"/>
    <mergeCell ref="J5:L5"/>
    <mergeCell ref="C26:L26"/>
    <mergeCell ref="O26:AG26"/>
    <mergeCell ref="J27:L27"/>
    <mergeCell ref="J28:L28"/>
    <mergeCell ref="C49:L49"/>
    <mergeCell ref="O49:AG49"/>
    <mergeCell ref="J50:L50"/>
    <mergeCell ref="C72:L72"/>
    <mergeCell ref="O72:AH72"/>
    <mergeCell ref="J73:L73"/>
    <mergeCell ref="J74:L74"/>
    <mergeCell ref="C95:L95"/>
    <mergeCell ref="O95:AH95"/>
    <mergeCell ref="J96:L96"/>
    <mergeCell ref="J97:L97"/>
    <mergeCell ref="C141:L141"/>
    <mergeCell ref="O141:AH141"/>
    <mergeCell ref="J142:L142"/>
    <mergeCell ref="J143:L143"/>
    <mergeCell ref="C118:L118"/>
    <mergeCell ref="O118:AH118"/>
    <mergeCell ref="J119:L119"/>
    <mergeCell ref="J120:L120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 N98:N115 N121:N138 N144:N161" xr:uid="{00000000-0002-0000-0D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AE38"/>
  <sheetViews>
    <sheetView topLeftCell="B16" zoomScaleNormal="100" workbookViewId="0">
      <selection activeCell="H31" sqref="H31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工事4!C2</f>
        <v>イ)6号線堺筋本町駅の部-可動式ホーム柵設置に伴う建築工事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46" t="s">
        <v>291</v>
      </c>
      <c r="H2" s="2847"/>
      <c r="I2" s="2847"/>
      <c r="J2" s="2848"/>
      <c r="K2" s="370">
        <f>+H9+L9</f>
        <v>0</v>
      </c>
      <c r="L2" s="371">
        <f>+I9+M9</f>
        <v>0</v>
      </c>
      <c r="M2" s="371">
        <f>+J9+N9</f>
        <v>-271.5</v>
      </c>
      <c r="N2" s="372">
        <f>+K9+O9</f>
        <v>1003.46</v>
      </c>
      <c r="O2" s="2849" t="s">
        <v>268</v>
      </c>
      <c r="P2" s="2850"/>
      <c r="Q2" s="2850"/>
      <c r="R2" s="2851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1104.5</v>
      </c>
      <c r="W2" s="373"/>
    </row>
    <row r="3" spans="1:31" ht="15" customHeight="1">
      <c r="B3" s="174"/>
      <c r="E3" s="369"/>
      <c r="G3" s="2852" t="s">
        <v>292</v>
      </c>
      <c r="H3" s="2853"/>
      <c r="I3" s="2853"/>
      <c r="J3" s="2854"/>
      <c r="K3" s="374">
        <f>+H9</f>
        <v>0</v>
      </c>
      <c r="L3" s="375">
        <f>+I9</f>
        <v>0</v>
      </c>
      <c r="M3" s="375">
        <f>+J9</f>
        <v>-271.5</v>
      </c>
      <c r="N3" s="376">
        <f>+K9</f>
        <v>-101.03999999999999</v>
      </c>
      <c r="O3" s="2855" t="s">
        <v>269</v>
      </c>
      <c r="P3" s="2856"/>
      <c r="Q3" s="2856"/>
      <c r="R3" s="2857"/>
      <c r="S3" s="374">
        <f>+P9</f>
        <v>0</v>
      </c>
      <c r="T3" s="375">
        <f>+Q9</f>
        <v>0</v>
      </c>
      <c r="U3" s="375">
        <f>+R9</f>
        <v>0</v>
      </c>
      <c r="V3" s="376">
        <f>+S9</f>
        <v>1104.5</v>
      </c>
      <c r="W3" s="373"/>
    </row>
    <row r="4" spans="1:31" ht="15" customHeight="1">
      <c r="B4" s="174"/>
      <c r="E4" s="369"/>
      <c r="G4" s="2852" t="s">
        <v>293</v>
      </c>
      <c r="H4" s="2853"/>
      <c r="I4" s="2853"/>
      <c r="J4" s="2854"/>
      <c r="K4" s="374">
        <f>+L9</f>
        <v>0</v>
      </c>
      <c r="L4" s="375">
        <f>+M9</f>
        <v>0</v>
      </c>
      <c r="M4" s="375">
        <f>+N9</f>
        <v>0</v>
      </c>
      <c r="N4" s="376">
        <f>+O9</f>
        <v>1104.5</v>
      </c>
      <c r="O4" s="2855" t="s">
        <v>270</v>
      </c>
      <c r="P4" s="2856"/>
      <c r="Q4" s="2856"/>
      <c r="R4" s="2857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43"/>
      <c r="H5" s="2844"/>
      <c r="I5" s="2844"/>
      <c r="J5" s="2845"/>
      <c r="K5" s="377"/>
      <c r="L5" s="377"/>
      <c r="M5" s="377"/>
      <c r="N5" s="377"/>
      <c r="O5" s="2843" t="s">
        <v>294</v>
      </c>
      <c r="P5" s="2844"/>
      <c r="Q5" s="2844"/>
      <c r="R5" s="2845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34" t="s">
        <v>263</v>
      </c>
      <c r="I7" s="2835"/>
      <c r="J7" s="2835"/>
      <c r="K7" s="2836"/>
      <c r="L7" s="2834" t="s">
        <v>295</v>
      </c>
      <c r="M7" s="2835"/>
      <c r="N7" s="2835"/>
      <c r="O7" s="2836"/>
      <c r="P7" s="2834" t="s">
        <v>296</v>
      </c>
      <c r="Q7" s="2835"/>
      <c r="R7" s="2835"/>
      <c r="S7" s="2836"/>
      <c r="T7" s="2834" t="s">
        <v>271</v>
      </c>
      <c r="U7" s="2835"/>
      <c r="V7" s="2835"/>
      <c r="W7" s="2836"/>
      <c r="X7" s="2834" t="s">
        <v>297</v>
      </c>
      <c r="Y7" s="2835"/>
      <c r="Z7" s="2835"/>
      <c r="AA7" s="2836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SUM(H10:H27)</f>
        <v>0</v>
      </c>
      <c r="I9" s="194">
        <f t="shared" si="0"/>
        <v>0</v>
      </c>
      <c r="J9" s="194">
        <f t="shared" si="0"/>
        <v>-271.5</v>
      </c>
      <c r="K9" s="195">
        <f t="shared" si="0"/>
        <v>-101.03999999999999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1104.5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1104.5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3236</v>
      </c>
      <c r="C11" s="185" t="s">
        <v>3195</v>
      </c>
      <c r="D11" s="186">
        <v>-1</v>
      </c>
      <c r="E11" s="188">
        <v>1</v>
      </c>
      <c r="F11" s="434"/>
      <c r="G11" s="435"/>
      <c r="H11" s="196"/>
      <c r="I11" s="197"/>
      <c r="J11" s="197">
        <f>D11*E11</f>
        <v>-1</v>
      </c>
      <c r="K11" s="198"/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3196</v>
      </c>
      <c r="C12" s="185" t="s">
        <v>3237</v>
      </c>
      <c r="D12" s="186">
        <v>-1</v>
      </c>
      <c r="E12" s="188">
        <v>2</v>
      </c>
      <c r="F12" s="434"/>
      <c r="G12" s="435"/>
      <c r="H12" s="196"/>
      <c r="I12" s="197"/>
      <c r="J12" s="197">
        <f>D12*E12</f>
        <v>-2</v>
      </c>
      <c r="K12" s="198"/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3236</v>
      </c>
      <c r="C13" s="185" t="s">
        <v>3195</v>
      </c>
      <c r="D13" s="186">
        <v>-2</v>
      </c>
      <c r="E13" s="188">
        <v>1</v>
      </c>
      <c r="F13" s="434"/>
      <c r="G13" s="435"/>
      <c r="H13" s="196"/>
      <c r="I13" s="197"/>
      <c r="J13" s="197"/>
      <c r="K13" s="198">
        <f>D13*E13</f>
        <v>-2</v>
      </c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B14" s="184" t="s">
        <v>3196</v>
      </c>
      <c r="C14" s="185" t="s">
        <v>3237</v>
      </c>
      <c r="D14" s="186">
        <v>-2</v>
      </c>
      <c r="E14" s="188">
        <v>2</v>
      </c>
      <c r="F14" s="434"/>
      <c r="G14" s="435"/>
      <c r="H14" s="196"/>
      <c r="I14" s="197"/>
      <c r="J14" s="197"/>
      <c r="K14" s="198">
        <f>D14*E14</f>
        <v>-4</v>
      </c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B15" s="184" t="s">
        <v>3038</v>
      </c>
      <c r="C15" s="185" t="s">
        <v>3039</v>
      </c>
      <c r="D15" s="186">
        <v>-34</v>
      </c>
      <c r="E15" s="188">
        <v>0.1</v>
      </c>
      <c r="F15" s="434"/>
      <c r="G15" s="435"/>
      <c r="H15" s="196"/>
      <c r="I15" s="197"/>
      <c r="J15" s="197">
        <f>D15*E15</f>
        <v>-3.4000000000000004</v>
      </c>
      <c r="K15" s="198"/>
      <c r="L15" s="196"/>
      <c r="M15" s="197"/>
      <c r="N15" s="197"/>
      <c r="O15" s="198"/>
      <c r="P15" s="196"/>
      <c r="Q15" s="197"/>
      <c r="R15" s="197"/>
      <c r="S15" s="198"/>
      <c r="T15" s="196"/>
      <c r="U15" s="197"/>
      <c r="V15" s="197"/>
      <c r="W15" s="198"/>
      <c r="X15" s="196"/>
      <c r="Y15" s="197"/>
      <c r="Z15" s="197"/>
      <c r="AA15" s="198"/>
    </row>
    <row r="16" spans="1:31" s="172" customFormat="1" ht="11.25" customHeight="1">
      <c r="B16" s="184" t="s">
        <v>3038</v>
      </c>
      <c r="C16" s="185" t="s">
        <v>3039</v>
      </c>
      <c r="D16" s="186">
        <v>-18</v>
      </c>
      <c r="E16" s="188">
        <v>0.1</v>
      </c>
      <c r="F16" s="434"/>
      <c r="G16" s="435"/>
      <c r="H16" s="196"/>
      <c r="I16" s="197"/>
      <c r="J16" s="197"/>
      <c r="K16" s="198">
        <f>D16*E16</f>
        <v>-1.8</v>
      </c>
      <c r="L16" s="196"/>
      <c r="M16" s="197"/>
      <c r="N16" s="197"/>
      <c r="O16" s="198"/>
      <c r="P16" s="196"/>
      <c r="Q16" s="197"/>
      <c r="R16" s="197"/>
      <c r="S16" s="198"/>
      <c r="T16" s="196"/>
      <c r="U16" s="197"/>
      <c r="V16" s="197"/>
      <c r="W16" s="198"/>
      <c r="X16" s="196"/>
      <c r="Y16" s="197"/>
      <c r="Z16" s="197"/>
      <c r="AA16" s="198"/>
    </row>
    <row r="17" spans="1:27" s="172" customFormat="1" ht="11.25" customHeight="1">
      <c r="B17" s="184" t="s">
        <v>3041</v>
      </c>
      <c r="C17" s="185" t="s">
        <v>3042</v>
      </c>
      <c r="D17" s="186">
        <v>-34</v>
      </c>
      <c r="E17" s="188">
        <v>0.3</v>
      </c>
      <c r="F17" s="434"/>
      <c r="G17" s="435"/>
      <c r="H17" s="196"/>
      <c r="I17" s="197"/>
      <c r="J17" s="197">
        <f>D17*E17</f>
        <v>-10.199999999999999</v>
      </c>
      <c r="K17" s="198"/>
      <c r="L17" s="196"/>
      <c r="M17" s="197"/>
      <c r="N17" s="197"/>
      <c r="O17" s="198"/>
      <c r="P17" s="196"/>
      <c r="Q17" s="197"/>
      <c r="R17" s="197"/>
      <c r="S17" s="198"/>
      <c r="T17" s="196"/>
      <c r="U17" s="197"/>
      <c r="V17" s="197"/>
      <c r="W17" s="198"/>
      <c r="X17" s="196"/>
      <c r="Y17" s="197"/>
      <c r="Z17" s="197"/>
      <c r="AA17" s="198"/>
    </row>
    <row r="18" spans="1:27" s="172" customFormat="1" ht="11.25" customHeight="1">
      <c r="B18" s="184" t="s">
        <v>3041</v>
      </c>
      <c r="C18" s="185" t="s">
        <v>3042</v>
      </c>
      <c r="D18" s="186">
        <v>-18</v>
      </c>
      <c r="E18" s="188">
        <v>0.3</v>
      </c>
      <c r="F18" s="434"/>
      <c r="G18" s="435"/>
      <c r="H18" s="196"/>
      <c r="I18" s="197"/>
      <c r="J18" s="197"/>
      <c r="K18" s="198">
        <f>D18*E18</f>
        <v>-5.3999999999999995</v>
      </c>
      <c r="L18" s="196"/>
      <c r="M18" s="197"/>
      <c r="N18" s="197"/>
      <c r="O18" s="198"/>
      <c r="P18" s="196"/>
      <c r="Q18" s="197"/>
      <c r="R18" s="197"/>
      <c r="S18" s="198"/>
      <c r="T18" s="196"/>
      <c r="U18" s="197"/>
      <c r="V18" s="197"/>
      <c r="W18" s="198"/>
      <c r="X18" s="196"/>
      <c r="Y18" s="197"/>
      <c r="Z18" s="197"/>
      <c r="AA18" s="198"/>
    </row>
    <row r="19" spans="1:27" s="172" customFormat="1" ht="11.25" customHeight="1">
      <c r="B19" s="184" t="s">
        <v>3238</v>
      </c>
      <c r="C19" s="185" t="s">
        <v>3239</v>
      </c>
      <c r="D19" s="186">
        <v>-1.3</v>
      </c>
      <c r="E19" s="188">
        <v>13</v>
      </c>
      <c r="F19" s="434"/>
      <c r="G19" s="435"/>
      <c r="H19" s="196"/>
      <c r="I19" s="197"/>
      <c r="J19" s="197">
        <f>D19*E19</f>
        <v>-16.900000000000002</v>
      </c>
      <c r="K19" s="198"/>
      <c r="L19" s="196"/>
      <c r="M19" s="197"/>
      <c r="N19" s="197"/>
      <c r="O19" s="198"/>
      <c r="P19" s="196"/>
      <c r="Q19" s="197"/>
      <c r="R19" s="197"/>
      <c r="S19" s="198"/>
      <c r="T19" s="196"/>
      <c r="U19" s="197"/>
      <c r="V19" s="197"/>
      <c r="W19" s="198"/>
      <c r="X19" s="196"/>
      <c r="Y19" s="197"/>
      <c r="Z19" s="197"/>
      <c r="AA19" s="198"/>
    </row>
    <row r="20" spans="1:27" s="172" customFormat="1" ht="11.25" customHeight="1">
      <c r="B20" s="184" t="s">
        <v>3023</v>
      </c>
      <c r="C20" s="185" t="s">
        <v>3026</v>
      </c>
      <c r="D20" s="186">
        <v>-34</v>
      </c>
      <c r="E20" s="188">
        <v>7</v>
      </c>
      <c r="F20" s="434"/>
      <c r="G20" s="435"/>
      <c r="H20" s="196"/>
      <c r="I20" s="197"/>
      <c r="J20" s="197">
        <f>D20*E20</f>
        <v>-238</v>
      </c>
      <c r="K20" s="198"/>
      <c r="L20" s="196"/>
      <c r="M20" s="197"/>
      <c r="N20" s="197"/>
      <c r="O20" s="198"/>
      <c r="P20" s="196"/>
      <c r="Q20" s="197"/>
      <c r="R20" s="197"/>
      <c r="S20" s="198"/>
      <c r="T20" s="196"/>
      <c r="U20" s="197"/>
      <c r="V20" s="197"/>
      <c r="W20" s="198"/>
      <c r="X20" s="196"/>
      <c r="Y20" s="197"/>
      <c r="Z20" s="197"/>
      <c r="AA20" s="198"/>
    </row>
    <row r="21" spans="1:27" s="172" customFormat="1" ht="11.25" customHeight="1">
      <c r="B21" s="184" t="s">
        <v>3023</v>
      </c>
      <c r="C21" s="185" t="s">
        <v>3026</v>
      </c>
      <c r="D21" s="186">
        <v>-18</v>
      </c>
      <c r="E21" s="188">
        <v>7</v>
      </c>
      <c r="F21" s="434"/>
      <c r="G21" s="435"/>
      <c r="H21" s="196"/>
      <c r="I21" s="197"/>
      <c r="J21" s="197"/>
      <c r="K21" s="198">
        <f>D21*E21</f>
        <v>-126</v>
      </c>
      <c r="L21" s="196"/>
      <c r="M21" s="197"/>
      <c r="N21" s="197"/>
      <c r="O21" s="198"/>
      <c r="P21" s="196"/>
      <c r="Q21" s="197"/>
      <c r="R21" s="197"/>
      <c r="S21" s="198"/>
      <c r="T21" s="196"/>
      <c r="U21" s="197"/>
      <c r="V21" s="197"/>
      <c r="W21" s="198"/>
      <c r="X21" s="196"/>
      <c r="Y21" s="197"/>
      <c r="Z21" s="197"/>
      <c r="AA21" s="198"/>
    </row>
    <row r="22" spans="1:27" s="172" customFormat="1" ht="11.25" customHeight="1">
      <c r="B22" s="184" t="s">
        <v>3198</v>
      </c>
      <c r="C22" s="185" t="s">
        <v>3199</v>
      </c>
      <c r="D22" s="186">
        <v>21.2</v>
      </c>
      <c r="E22" s="188">
        <v>1.3</v>
      </c>
      <c r="F22" s="434"/>
      <c r="G22" s="435"/>
      <c r="H22" s="196"/>
      <c r="I22" s="197"/>
      <c r="J22" s="197"/>
      <c r="K22" s="198">
        <f>D22*E22</f>
        <v>27.56</v>
      </c>
      <c r="L22" s="196"/>
      <c r="M22" s="197"/>
      <c r="N22" s="197"/>
      <c r="O22" s="198"/>
      <c r="P22" s="196"/>
      <c r="Q22" s="197"/>
      <c r="R22" s="197"/>
      <c r="S22" s="198"/>
      <c r="T22" s="196"/>
      <c r="U22" s="197"/>
      <c r="V22" s="197"/>
      <c r="W22" s="198"/>
      <c r="X22" s="196"/>
      <c r="Y22" s="197"/>
      <c r="Z22" s="197"/>
      <c r="AA22" s="198"/>
    </row>
    <row r="23" spans="1:27" s="172" customFormat="1" ht="11.25" customHeight="1">
      <c r="B23" s="184" t="s">
        <v>3200</v>
      </c>
      <c r="C23" s="185" t="s">
        <v>3201</v>
      </c>
      <c r="D23" s="186">
        <v>21.2</v>
      </c>
      <c r="E23" s="188">
        <v>0.5</v>
      </c>
      <c r="F23" s="434"/>
      <c r="G23" s="435"/>
      <c r="H23" s="196"/>
      <c r="I23" s="197"/>
      <c r="J23" s="197"/>
      <c r="K23" s="198">
        <f>D23*E23</f>
        <v>10.6</v>
      </c>
      <c r="L23" s="196"/>
      <c r="M23" s="197"/>
      <c r="N23" s="197"/>
      <c r="O23" s="198"/>
      <c r="P23" s="196"/>
      <c r="Q23" s="197"/>
      <c r="R23" s="197"/>
      <c r="S23" s="198"/>
      <c r="T23" s="196"/>
      <c r="U23" s="197"/>
      <c r="V23" s="197"/>
      <c r="W23" s="198"/>
      <c r="X23" s="196"/>
      <c r="Y23" s="197"/>
      <c r="Z23" s="197"/>
      <c r="AA23" s="198"/>
    </row>
    <row r="24" spans="1:27" s="172" customFormat="1" ht="11.25" customHeight="1">
      <c r="B24" s="184" t="s">
        <v>3031</v>
      </c>
      <c r="C24" s="185" t="s">
        <v>3240</v>
      </c>
      <c r="D24" s="186">
        <v>23.5</v>
      </c>
      <c r="E24" s="188">
        <v>47</v>
      </c>
      <c r="F24" s="434">
        <v>0</v>
      </c>
      <c r="G24" s="435">
        <v>0</v>
      </c>
      <c r="H24" s="196"/>
      <c r="I24" s="197"/>
      <c r="J24" s="197"/>
      <c r="K24" s="198"/>
      <c r="L24" s="196"/>
      <c r="M24" s="197"/>
      <c r="N24" s="197"/>
      <c r="O24" s="198">
        <f>D24*(E24+F24+G24)</f>
        <v>1104.5</v>
      </c>
      <c r="P24" s="196"/>
      <c r="Q24" s="197"/>
      <c r="R24" s="197"/>
      <c r="S24" s="198">
        <f>D24*E24</f>
        <v>1104.5</v>
      </c>
      <c r="T24" s="196"/>
      <c r="U24" s="197"/>
      <c r="V24" s="197"/>
      <c r="W24" s="198">
        <f>D24*F24</f>
        <v>0</v>
      </c>
      <c r="X24" s="196"/>
      <c r="Y24" s="197"/>
      <c r="Z24" s="197"/>
      <c r="AA24" s="198">
        <f>D24*G24</f>
        <v>0</v>
      </c>
    </row>
    <row r="25" spans="1:27" s="172" customFormat="1" ht="11.25" customHeight="1">
      <c r="B25" s="184"/>
      <c r="C25" s="185"/>
      <c r="D25" s="186"/>
      <c r="E25" s="188"/>
      <c r="F25" s="434"/>
      <c r="G25" s="435"/>
      <c r="H25" s="196"/>
      <c r="I25" s="197"/>
      <c r="J25" s="197"/>
      <c r="K25" s="198"/>
      <c r="L25" s="196"/>
      <c r="M25" s="197"/>
      <c r="N25" s="197"/>
      <c r="O25" s="198"/>
      <c r="P25" s="196"/>
      <c r="Q25" s="197"/>
      <c r="R25" s="197"/>
      <c r="S25" s="198"/>
      <c r="T25" s="196"/>
      <c r="U25" s="197"/>
      <c r="V25" s="197"/>
      <c r="W25" s="198"/>
      <c r="X25" s="196"/>
      <c r="Y25" s="197"/>
      <c r="Z25" s="197"/>
      <c r="AA25" s="198"/>
    </row>
    <row r="26" spans="1:27" s="172" customFormat="1" ht="11.25" customHeight="1">
      <c r="A26" s="159" t="s">
        <v>301</v>
      </c>
      <c r="B26" s="178"/>
      <c r="C26" s="179"/>
      <c r="D26" s="180"/>
      <c r="E26" s="189"/>
      <c r="F26" s="436"/>
      <c r="G26" s="437"/>
      <c r="H26" s="199">
        <f>D26*E26</f>
        <v>0</v>
      </c>
      <c r="I26" s="200"/>
      <c r="J26" s="200"/>
      <c r="K26" s="201"/>
      <c r="L26" s="199"/>
      <c r="M26" s="200"/>
      <c r="N26" s="200"/>
      <c r="O26" s="201"/>
      <c r="P26" s="199"/>
      <c r="Q26" s="200"/>
      <c r="R26" s="200"/>
      <c r="S26" s="201"/>
      <c r="T26" s="199"/>
      <c r="U26" s="200"/>
      <c r="V26" s="200"/>
      <c r="W26" s="201"/>
      <c r="X26" s="199"/>
      <c r="Y26" s="200"/>
      <c r="Z26" s="200"/>
      <c r="AA26" s="201"/>
    </row>
    <row r="27" spans="1:27">
      <c r="A27" s="81"/>
      <c r="B27" s="176"/>
      <c r="C27" s="177"/>
      <c r="D27" s="183"/>
      <c r="E27" s="190"/>
      <c r="F27" s="438"/>
      <c r="G27" s="439"/>
      <c r="H27" s="202"/>
      <c r="I27" s="203"/>
      <c r="J27" s="203"/>
      <c r="K27" s="204"/>
      <c r="L27" s="202"/>
      <c r="M27" s="203"/>
      <c r="N27" s="203"/>
      <c r="O27" s="204"/>
      <c r="P27" s="202"/>
      <c r="Q27" s="203"/>
      <c r="R27" s="203"/>
      <c r="S27" s="204"/>
      <c r="T27" s="202"/>
      <c r="U27" s="203"/>
      <c r="V27" s="203"/>
      <c r="W27" s="204"/>
      <c r="X27" s="202"/>
      <c r="Y27" s="203"/>
      <c r="Z27" s="203"/>
      <c r="AA27" s="204"/>
    </row>
    <row r="28" spans="1:27" ht="14">
      <c r="B28" s="175" t="s">
        <v>140</v>
      </c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27" ht="15" customHeight="1">
      <c r="B29" s="166" t="s">
        <v>138</v>
      </c>
      <c r="C29" s="167"/>
      <c r="D29" s="168"/>
      <c r="E29" s="2837" t="s">
        <v>127</v>
      </c>
      <c r="F29" s="2838"/>
      <c r="G29" s="2838"/>
      <c r="H29" s="2838"/>
      <c r="I29" s="2838"/>
      <c r="J29" s="2838"/>
      <c r="K29" s="2838"/>
      <c r="L29" s="2838"/>
      <c r="M29" s="2838"/>
      <c r="N29" s="2838"/>
      <c r="O29" s="2838"/>
      <c r="P29" s="2838"/>
      <c r="Q29" s="2838"/>
      <c r="R29" s="2839"/>
      <c r="S29" s="2840"/>
      <c r="T29" s="2834" t="s">
        <v>302</v>
      </c>
      <c r="U29" s="2841"/>
      <c r="V29" s="2841"/>
      <c r="W29" s="2842"/>
    </row>
    <row r="30" spans="1:27" ht="13.5" customHeight="1">
      <c r="B30" s="233"/>
      <c r="C30" s="234"/>
      <c r="D30" s="235"/>
      <c r="E30" s="277" t="s">
        <v>264</v>
      </c>
      <c r="F30" s="278" t="s">
        <v>304</v>
      </c>
      <c r="G30" s="278" t="s">
        <v>211</v>
      </c>
      <c r="H30" s="278" t="s">
        <v>211</v>
      </c>
      <c r="I30" s="278" t="s">
        <v>265</v>
      </c>
      <c r="J30" s="279" t="s">
        <v>306</v>
      </c>
      <c r="K30" s="281" t="s">
        <v>221</v>
      </c>
      <c r="L30" s="278" t="s">
        <v>123</v>
      </c>
      <c r="M30" s="278" t="s">
        <v>222</v>
      </c>
      <c r="N30" s="278" t="s">
        <v>307</v>
      </c>
      <c r="O30" s="282" t="s">
        <v>223</v>
      </c>
      <c r="P30" s="283" t="s">
        <v>225</v>
      </c>
      <c r="Q30" s="440" t="s">
        <v>122</v>
      </c>
      <c r="R30" s="441" t="s">
        <v>214</v>
      </c>
      <c r="S30" s="442" t="s">
        <v>215</v>
      </c>
      <c r="T30" s="443" t="s">
        <v>128</v>
      </c>
      <c r="U30" s="278" t="s">
        <v>131</v>
      </c>
      <c r="V30" s="441" t="s">
        <v>308</v>
      </c>
      <c r="W30" s="442" t="s">
        <v>130</v>
      </c>
    </row>
    <row r="31" spans="1:27" ht="12.75" customHeight="1">
      <c r="B31" s="165" t="s">
        <v>67</v>
      </c>
      <c r="C31" s="146" t="s">
        <v>68</v>
      </c>
      <c r="D31" s="161" t="s">
        <v>21</v>
      </c>
      <c r="E31" s="358"/>
      <c r="F31" s="280"/>
      <c r="G31" s="280" t="s">
        <v>218</v>
      </c>
      <c r="H31" s="280" t="s">
        <v>219</v>
      </c>
      <c r="I31" s="280"/>
      <c r="J31" s="280" t="s">
        <v>220</v>
      </c>
      <c r="K31" s="280" t="s">
        <v>309</v>
      </c>
      <c r="L31" s="280"/>
      <c r="M31" s="280" t="s">
        <v>272</v>
      </c>
      <c r="N31" s="280" t="s">
        <v>273</v>
      </c>
      <c r="O31" s="280" t="s">
        <v>224</v>
      </c>
      <c r="P31" s="280" t="s">
        <v>226</v>
      </c>
      <c r="Q31" s="444" t="s">
        <v>274</v>
      </c>
      <c r="R31" s="235" t="s">
        <v>310</v>
      </c>
      <c r="S31" s="445" t="s">
        <v>310</v>
      </c>
      <c r="T31" s="446"/>
      <c r="U31" s="234"/>
      <c r="V31" s="447"/>
      <c r="W31" s="445"/>
    </row>
    <row r="32" spans="1:27" s="172" customFormat="1">
      <c r="A32" s="169"/>
      <c r="B32" s="170"/>
      <c r="C32" s="171"/>
      <c r="D32" s="173"/>
      <c r="E32" s="193">
        <f t="shared" ref="E32:W32" si="1">SUM(E33:E41)</f>
        <v>1104.5</v>
      </c>
      <c r="F32" s="194">
        <f t="shared" si="1"/>
        <v>0</v>
      </c>
      <c r="G32" s="194">
        <f t="shared" si="1"/>
        <v>0</v>
      </c>
      <c r="H32" s="194">
        <f t="shared" si="1"/>
        <v>0</v>
      </c>
      <c r="I32" s="194">
        <f t="shared" si="1"/>
        <v>0</v>
      </c>
      <c r="J32" s="194">
        <f t="shared" si="1"/>
        <v>0</v>
      </c>
      <c r="K32" s="194">
        <f t="shared" si="1"/>
        <v>0</v>
      </c>
      <c r="L32" s="194">
        <f t="shared" si="1"/>
        <v>0</v>
      </c>
      <c r="M32" s="194">
        <f t="shared" si="1"/>
        <v>0</v>
      </c>
      <c r="N32" s="194">
        <f t="shared" si="1"/>
        <v>0</v>
      </c>
      <c r="O32" s="286">
        <f t="shared" si="1"/>
        <v>0</v>
      </c>
      <c r="P32" s="194">
        <f t="shared" si="1"/>
        <v>0</v>
      </c>
      <c r="Q32" s="448">
        <f t="shared" si="1"/>
        <v>0</v>
      </c>
      <c r="R32" s="194">
        <f t="shared" si="1"/>
        <v>0</v>
      </c>
      <c r="S32" s="195">
        <f t="shared" si="1"/>
        <v>0</v>
      </c>
      <c r="T32" s="449">
        <f t="shared" si="1"/>
        <v>0</v>
      </c>
      <c r="U32" s="194">
        <f t="shared" si="1"/>
        <v>0</v>
      </c>
      <c r="V32" s="448">
        <f t="shared" si="1"/>
        <v>0</v>
      </c>
      <c r="W32" s="195">
        <f t="shared" si="1"/>
        <v>0</v>
      </c>
    </row>
    <row r="33" spans="1:23" s="172" customFormat="1" ht="11.25" customHeight="1">
      <c r="B33" s="178"/>
      <c r="C33" s="179"/>
      <c r="D33" s="180"/>
      <c r="E33" s="199"/>
      <c r="F33" s="200"/>
      <c r="G33" s="200"/>
      <c r="H33" s="200"/>
      <c r="I33" s="200"/>
      <c r="J33" s="200"/>
      <c r="K33" s="200"/>
      <c r="L33" s="200"/>
      <c r="M33" s="200"/>
      <c r="N33" s="200"/>
      <c r="O33" s="284"/>
      <c r="P33" s="200"/>
      <c r="Q33" s="450"/>
      <c r="R33" s="200"/>
      <c r="S33" s="201"/>
      <c r="T33" s="451"/>
      <c r="U33" s="200"/>
      <c r="V33" s="450"/>
      <c r="W33" s="452"/>
    </row>
    <row r="34" spans="1:23" s="172" customFormat="1" ht="11.25" customHeight="1">
      <c r="B34" s="178" t="s">
        <v>3031</v>
      </c>
      <c r="C34" s="179" t="s">
        <v>3240</v>
      </c>
      <c r="D34" s="180">
        <v>23.5</v>
      </c>
      <c r="E34" s="199">
        <f>D34*47</f>
        <v>1104.5</v>
      </c>
      <c r="F34" s="200"/>
      <c r="G34" s="200"/>
      <c r="H34" s="200"/>
      <c r="I34" s="200"/>
      <c r="J34" s="200"/>
      <c r="K34" s="200"/>
      <c r="L34" s="200"/>
      <c r="M34" s="200"/>
      <c r="N34" s="200"/>
      <c r="O34" s="284"/>
      <c r="P34" s="200"/>
      <c r="Q34" s="450"/>
      <c r="R34" s="200"/>
      <c r="S34" s="201"/>
      <c r="T34" s="451"/>
      <c r="U34" s="200"/>
      <c r="V34" s="450"/>
      <c r="W34" s="452"/>
    </row>
    <row r="35" spans="1:23" s="172" customFormat="1" ht="11.25" customHeight="1">
      <c r="B35" s="178"/>
      <c r="C35" s="179"/>
      <c r="D35" s="180"/>
      <c r="E35" s="199"/>
      <c r="F35" s="200"/>
      <c r="G35" s="200"/>
      <c r="H35" s="200"/>
      <c r="I35" s="200"/>
      <c r="J35" s="200"/>
      <c r="K35" s="200"/>
      <c r="L35" s="200"/>
      <c r="M35" s="200"/>
      <c r="N35" s="200"/>
      <c r="O35" s="284"/>
      <c r="P35" s="200"/>
      <c r="Q35" s="450"/>
      <c r="R35" s="200"/>
      <c r="S35" s="201"/>
      <c r="T35" s="451"/>
      <c r="U35" s="200"/>
      <c r="V35" s="450"/>
      <c r="W35" s="452"/>
    </row>
    <row r="36" spans="1:23" s="172" customFormat="1" ht="11.25" customHeight="1">
      <c r="A36" s="159" t="s">
        <v>275</v>
      </c>
      <c r="B36" s="178"/>
      <c r="C36" s="179"/>
      <c r="D36" s="180"/>
      <c r="E36" s="199"/>
      <c r="F36" s="200"/>
      <c r="G36" s="200"/>
      <c r="H36" s="200"/>
      <c r="I36" s="200"/>
      <c r="J36" s="200"/>
      <c r="K36" s="200"/>
      <c r="L36" s="200"/>
      <c r="M36" s="200"/>
      <c r="N36" s="200"/>
      <c r="O36" s="284"/>
      <c r="P36" s="200"/>
      <c r="Q36" s="450"/>
      <c r="R36" s="200"/>
      <c r="S36" s="201"/>
      <c r="T36" s="451"/>
      <c r="U36" s="200">
        <f>$D36*O36</f>
        <v>0</v>
      </c>
      <c r="V36" s="450">
        <f>$D36*P36</f>
        <v>0</v>
      </c>
      <c r="W36" s="453"/>
    </row>
    <row r="37" spans="1:23">
      <c r="A37" s="81"/>
      <c r="B37" s="176"/>
      <c r="C37" s="177"/>
      <c r="D37" s="183"/>
      <c r="E37" s="202"/>
      <c r="F37" s="203"/>
      <c r="G37" s="203"/>
      <c r="H37" s="285"/>
      <c r="I37" s="285"/>
      <c r="J37" s="285"/>
      <c r="K37" s="285"/>
      <c r="L37" s="285"/>
      <c r="M37" s="285"/>
      <c r="N37" s="285"/>
      <c r="O37" s="285"/>
      <c r="P37" s="285"/>
      <c r="Q37" s="454"/>
      <c r="R37" s="203"/>
      <c r="S37" s="204"/>
      <c r="T37" s="455"/>
      <c r="U37" s="203">
        <f>$D37*O37</f>
        <v>0</v>
      </c>
      <c r="V37" s="456">
        <f>$D37*P37</f>
        <v>0</v>
      </c>
      <c r="W37" s="457"/>
    </row>
    <row r="38" spans="1:23">
      <c r="E38" s="81"/>
    </row>
  </sheetData>
  <mergeCells count="15">
    <mergeCell ref="X7:AA7"/>
    <mergeCell ref="E29:S29"/>
    <mergeCell ref="T29:W29"/>
    <mergeCell ref="G5:J5"/>
    <mergeCell ref="O5:R5"/>
    <mergeCell ref="H7:K7"/>
    <mergeCell ref="L7:O7"/>
    <mergeCell ref="P7:S7"/>
    <mergeCell ref="T7:W7"/>
    <mergeCell ref="G2:J2"/>
    <mergeCell ref="O2:R2"/>
    <mergeCell ref="G3:J3"/>
    <mergeCell ref="O3:R3"/>
    <mergeCell ref="G4:J4"/>
    <mergeCell ref="O4:R4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AE27"/>
  <sheetViews>
    <sheetView topLeftCell="B2" zoomScaleNormal="100" workbookViewId="0">
      <selection activeCell="B2" sqref="A1:XFD104857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工事5!C2</f>
        <v>イ)6号線堺筋本町駅の部-床仕上改造その他工事-建築工事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46" t="s">
        <v>291</v>
      </c>
      <c r="H2" s="2847"/>
      <c r="I2" s="2847"/>
      <c r="J2" s="2848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1029.5999999999999</v>
      </c>
      <c r="O2" s="2849" t="s">
        <v>268</v>
      </c>
      <c r="P2" s="2850"/>
      <c r="Q2" s="2850"/>
      <c r="R2" s="2851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352</v>
      </c>
      <c r="W2" s="373"/>
    </row>
    <row r="3" spans="1:31" ht="15" customHeight="1">
      <c r="B3" s="174"/>
      <c r="E3" s="369"/>
      <c r="G3" s="2852" t="s">
        <v>292</v>
      </c>
      <c r="H3" s="2853"/>
      <c r="I3" s="2853"/>
      <c r="J3" s="2854"/>
      <c r="K3" s="374">
        <f>+H9</f>
        <v>0</v>
      </c>
      <c r="L3" s="375">
        <f>+I9</f>
        <v>0</v>
      </c>
      <c r="M3" s="375">
        <f>+J9</f>
        <v>0</v>
      </c>
      <c r="N3" s="376">
        <f>+K9</f>
        <v>677.6</v>
      </c>
      <c r="O3" s="2855" t="s">
        <v>269</v>
      </c>
      <c r="P3" s="2856"/>
      <c r="Q3" s="2856"/>
      <c r="R3" s="2857"/>
      <c r="S3" s="374">
        <f>+P9</f>
        <v>0</v>
      </c>
      <c r="T3" s="375">
        <f>+Q9</f>
        <v>0</v>
      </c>
      <c r="U3" s="375">
        <f>+R9</f>
        <v>0</v>
      </c>
      <c r="V3" s="376">
        <f>+S9</f>
        <v>352</v>
      </c>
      <c r="W3" s="373"/>
    </row>
    <row r="4" spans="1:31" ht="15" customHeight="1">
      <c r="B4" s="174"/>
      <c r="E4" s="369"/>
      <c r="G4" s="2852" t="s">
        <v>293</v>
      </c>
      <c r="H4" s="2853"/>
      <c r="I4" s="2853"/>
      <c r="J4" s="2854"/>
      <c r="K4" s="374">
        <f>+L9</f>
        <v>0</v>
      </c>
      <c r="L4" s="375">
        <f>+M9</f>
        <v>0</v>
      </c>
      <c r="M4" s="375">
        <f>+N9</f>
        <v>0</v>
      </c>
      <c r="N4" s="376">
        <f>+O9</f>
        <v>352</v>
      </c>
      <c r="O4" s="2855" t="s">
        <v>270</v>
      </c>
      <c r="P4" s="2856"/>
      <c r="Q4" s="2856"/>
      <c r="R4" s="2857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43"/>
      <c r="H5" s="2844"/>
      <c r="I5" s="2844"/>
      <c r="J5" s="2845"/>
      <c r="K5" s="377"/>
      <c r="L5" s="377"/>
      <c r="M5" s="377"/>
      <c r="N5" s="377"/>
      <c r="O5" s="2843" t="s">
        <v>294</v>
      </c>
      <c r="P5" s="2844"/>
      <c r="Q5" s="2844"/>
      <c r="R5" s="2845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34" t="s">
        <v>263</v>
      </c>
      <c r="I7" s="2835"/>
      <c r="J7" s="2835"/>
      <c r="K7" s="2836"/>
      <c r="L7" s="2834" t="s">
        <v>295</v>
      </c>
      <c r="M7" s="2835"/>
      <c r="N7" s="2835"/>
      <c r="O7" s="2836"/>
      <c r="P7" s="2834" t="s">
        <v>296</v>
      </c>
      <c r="Q7" s="2835"/>
      <c r="R7" s="2835"/>
      <c r="S7" s="2836"/>
      <c r="T7" s="2834" t="s">
        <v>271</v>
      </c>
      <c r="U7" s="2835"/>
      <c r="V7" s="2835"/>
      <c r="W7" s="2836"/>
      <c r="X7" s="2834" t="s">
        <v>297</v>
      </c>
      <c r="Y7" s="2835"/>
      <c r="Z7" s="2835"/>
      <c r="AA7" s="2836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SUM(H10:H16)</f>
        <v>0</v>
      </c>
      <c r="I9" s="194">
        <f t="shared" si="0"/>
        <v>0</v>
      </c>
      <c r="J9" s="194">
        <f t="shared" si="0"/>
        <v>0</v>
      </c>
      <c r="K9" s="195">
        <f t="shared" si="0"/>
        <v>677.6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352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352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3266</v>
      </c>
      <c r="C11" s="185" t="s">
        <v>3267</v>
      </c>
      <c r="D11" s="186">
        <v>4.4000000000000004</v>
      </c>
      <c r="E11" s="188">
        <v>77</v>
      </c>
      <c r="F11" s="434"/>
      <c r="G11" s="435"/>
      <c r="H11" s="196"/>
      <c r="I11" s="197"/>
      <c r="J11" s="197"/>
      <c r="K11" s="198">
        <f>D11*E11</f>
        <v>338.8</v>
      </c>
      <c r="L11" s="196"/>
      <c r="M11" s="197"/>
      <c r="N11" s="197"/>
      <c r="O11" s="198"/>
      <c r="P11" s="196"/>
      <c r="Q11" s="197"/>
      <c r="R11" s="197"/>
      <c r="S11" s="198"/>
      <c r="T11" s="196"/>
      <c r="U11" s="197"/>
      <c r="V11" s="197"/>
      <c r="W11" s="198"/>
      <c r="X11" s="196"/>
      <c r="Y11" s="197"/>
      <c r="Z11" s="197"/>
      <c r="AA11" s="198"/>
    </row>
    <row r="12" spans="1:31" s="172" customFormat="1" ht="11.25" customHeight="1">
      <c r="B12" s="184" t="s">
        <v>3268</v>
      </c>
      <c r="C12" s="185" t="s">
        <v>3269</v>
      </c>
      <c r="D12" s="186">
        <v>4.4000000000000004</v>
      </c>
      <c r="E12" s="188">
        <v>77</v>
      </c>
      <c r="F12" s="434"/>
      <c r="G12" s="435"/>
      <c r="H12" s="196"/>
      <c r="I12" s="197"/>
      <c r="J12" s="197"/>
      <c r="K12" s="198">
        <f>D12*E12</f>
        <v>338.8</v>
      </c>
      <c r="L12" s="196"/>
      <c r="M12" s="197"/>
      <c r="N12" s="197"/>
      <c r="O12" s="198"/>
      <c r="P12" s="196"/>
      <c r="Q12" s="197"/>
      <c r="R12" s="197"/>
      <c r="S12" s="198"/>
      <c r="T12" s="196"/>
      <c r="U12" s="197"/>
      <c r="V12" s="197"/>
      <c r="W12" s="198"/>
      <c r="X12" s="196"/>
      <c r="Y12" s="197"/>
      <c r="Z12" s="197"/>
      <c r="AA12" s="198"/>
    </row>
    <row r="13" spans="1:31" s="172" customFormat="1" ht="11.25" customHeight="1">
      <c r="B13" s="184" t="s">
        <v>3270</v>
      </c>
      <c r="C13" s="185" t="s">
        <v>3271</v>
      </c>
      <c r="D13" s="186">
        <v>4.4000000000000004</v>
      </c>
      <c r="E13" s="188">
        <v>80</v>
      </c>
      <c r="F13" s="434">
        <v>0</v>
      </c>
      <c r="G13" s="435">
        <v>0</v>
      </c>
      <c r="H13" s="196"/>
      <c r="I13" s="197"/>
      <c r="J13" s="197"/>
      <c r="K13" s="198"/>
      <c r="L13" s="196"/>
      <c r="M13" s="197"/>
      <c r="N13" s="197"/>
      <c r="O13" s="198">
        <f>D13*(E13+F13+G13)</f>
        <v>352</v>
      </c>
      <c r="P13" s="196"/>
      <c r="Q13" s="197"/>
      <c r="R13" s="197"/>
      <c r="S13" s="198">
        <f>D13*E13</f>
        <v>352</v>
      </c>
      <c r="T13" s="196"/>
      <c r="U13" s="197"/>
      <c r="V13" s="197"/>
      <c r="W13" s="198">
        <f>D13*F13</f>
        <v>0</v>
      </c>
      <c r="X13" s="196"/>
      <c r="Y13" s="197"/>
      <c r="Z13" s="197"/>
      <c r="AA13" s="198">
        <f>D13*G13</f>
        <v>0</v>
      </c>
    </row>
    <row r="14" spans="1:31" s="172" customFormat="1" ht="11.25" customHeight="1">
      <c r="B14" s="184"/>
      <c r="C14" s="185"/>
      <c r="D14" s="186"/>
      <c r="E14" s="188"/>
      <c r="F14" s="434"/>
      <c r="G14" s="435"/>
      <c r="H14" s="196"/>
      <c r="I14" s="197"/>
      <c r="J14" s="197"/>
      <c r="K14" s="198"/>
      <c r="L14" s="196"/>
      <c r="M14" s="197"/>
      <c r="N14" s="197"/>
      <c r="O14" s="198"/>
      <c r="P14" s="196"/>
      <c r="Q14" s="197"/>
      <c r="R14" s="197"/>
      <c r="S14" s="198"/>
      <c r="T14" s="196"/>
      <c r="U14" s="197"/>
      <c r="V14" s="197"/>
      <c r="W14" s="198"/>
      <c r="X14" s="196"/>
      <c r="Y14" s="197"/>
      <c r="Z14" s="197"/>
      <c r="AA14" s="198"/>
    </row>
    <row r="15" spans="1:31" s="172" customFormat="1" ht="11.25" customHeight="1">
      <c r="A15" s="159" t="s">
        <v>301</v>
      </c>
      <c r="B15" s="178"/>
      <c r="C15" s="179"/>
      <c r="D15" s="180"/>
      <c r="E15" s="189"/>
      <c r="F15" s="436"/>
      <c r="G15" s="437"/>
      <c r="H15" s="199">
        <f>D15*E15</f>
        <v>0</v>
      </c>
      <c r="I15" s="200"/>
      <c r="J15" s="200"/>
      <c r="K15" s="201"/>
      <c r="L15" s="199"/>
      <c r="M15" s="200"/>
      <c r="N15" s="200"/>
      <c r="O15" s="201"/>
      <c r="P15" s="199"/>
      <c r="Q15" s="200"/>
      <c r="R15" s="200"/>
      <c r="S15" s="201"/>
      <c r="T15" s="199"/>
      <c r="U15" s="200"/>
      <c r="V15" s="200"/>
      <c r="W15" s="201"/>
      <c r="X15" s="199"/>
      <c r="Y15" s="200"/>
      <c r="Z15" s="200"/>
      <c r="AA15" s="201"/>
    </row>
    <row r="16" spans="1:31">
      <c r="A16" s="81"/>
      <c r="B16" s="176"/>
      <c r="C16" s="177"/>
      <c r="D16" s="183"/>
      <c r="E16" s="190"/>
      <c r="F16" s="438"/>
      <c r="G16" s="439"/>
      <c r="H16" s="202"/>
      <c r="I16" s="203"/>
      <c r="J16" s="203"/>
      <c r="K16" s="204"/>
      <c r="L16" s="202"/>
      <c r="M16" s="203"/>
      <c r="N16" s="203"/>
      <c r="O16" s="204"/>
      <c r="P16" s="202"/>
      <c r="Q16" s="203"/>
      <c r="R16" s="203"/>
      <c r="S16" s="204"/>
      <c r="T16" s="202"/>
      <c r="U16" s="203"/>
      <c r="V16" s="203"/>
      <c r="W16" s="204"/>
      <c r="X16" s="202"/>
      <c r="Y16" s="203"/>
      <c r="Z16" s="203"/>
      <c r="AA16" s="204"/>
    </row>
    <row r="17" spans="1:23" ht="14">
      <c r="B17" s="175" t="s">
        <v>140</v>
      </c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23" ht="15" customHeight="1">
      <c r="B18" s="166" t="s">
        <v>138</v>
      </c>
      <c r="C18" s="167"/>
      <c r="D18" s="168"/>
      <c r="E18" s="2837" t="s">
        <v>127</v>
      </c>
      <c r="F18" s="2838"/>
      <c r="G18" s="2838"/>
      <c r="H18" s="2838"/>
      <c r="I18" s="2838"/>
      <c r="J18" s="2838"/>
      <c r="K18" s="2838"/>
      <c r="L18" s="2838"/>
      <c r="M18" s="2838"/>
      <c r="N18" s="2838"/>
      <c r="O18" s="2838"/>
      <c r="P18" s="2838"/>
      <c r="Q18" s="2838"/>
      <c r="R18" s="2839"/>
      <c r="S18" s="2840"/>
      <c r="T18" s="2834" t="s">
        <v>302</v>
      </c>
      <c r="U18" s="2841"/>
      <c r="V18" s="2841"/>
      <c r="W18" s="2842"/>
    </row>
    <row r="19" spans="1:23" ht="13.5" customHeight="1">
      <c r="B19" s="233"/>
      <c r="C19" s="234"/>
      <c r="D19" s="235"/>
      <c r="E19" s="277" t="s">
        <v>264</v>
      </c>
      <c r="F19" s="278" t="s">
        <v>304</v>
      </c>
      <c r="G19" s="278" t="s">
        <v>211</v>
      </c>
      <c r="H19" s="278" t="s">
        <v>211</v>
      </c>
      <c r="I19" s="278" t="s">
        <v>265</v>
      </c>
      <c r="J19" s="279" t="s">
        <v>306</v>
      </c>
      <c r="K19" s="281" t="s">
        <v>221</v>
      </c>
      <c r="L19" s="278" t="s">
        <v>123</v>
      </c>
      <c r="M19" s="278" t="s">
        <v>222</v>
      </c>
      <c r="N19" s="278" t="s">
        <v>307</v>
      </c>
      <c r="O19" s="282" t="s">
        <v>223</v>
      </c>
      <c r="P19" s="283" t="s">
        <v>225</v>
      </c>
      <c r="Q19" s="440" t="s">
        <v>122</v>
      </c>
      <c r="R19" s="441" t="s">
        <v>214</v>
      </c>
      <c r="S19" s="442" t="s">
        <v>215</v>
      </c>
      <c r="T19" s="443" t="s">
        <v>128</v>
      </c>
      <c r="U19" s="278" t="s">
        <v>131</v>
      </c>
      <c r="V19" s="441" t="s">
        <v>308</v>
      </c>
      <c r="W19" s="442" t="s">
        <v>130</v>
      </c>
    </row>
    <row r="20" spans="1:23" ht="12.75" customHeight="1">
      <c r="B20" s="165" t="s">
        <v>67</v>
      </c>
      <c r="C20" s="146" t="s">
        <v>68</v>
      </c>
      <c r="D20" s="161" t="s">
        <v>21</v>
      </c>
      <c r="E20" s="358"/>
      <c r="F20" s="280"/>
      <c r="G20" s="280" t="s">
        <v>218</v>
      </c>
      <c r="H20" s="280" t="s">
        <v>219</v>
      </c>
      <c r="I20" s="280"/>
      <c r="J20" s="280" t="s">
        <v>220</v>
      </c>
      <c r="K20" s="280" t="s">
        <v>309</v>
      </c>
      <c r="L20" s="280"/>
      <c r="M20" s="280" t="s">
        <v>272</v>
      </c>
      <c r="N20" s="280" t="s">
        <v>273</v>
      </c>
      <c r="O20" s="280" t="s">
        <v>224</v>
      </c>
      <c r="P20" s="280" t="s">
        <v>226</v>
      </c>
      <c r="Q20" s="444" t="s">
        <v>274</v>
      </c>
      <c r="R20" s="235" t="s">
        <v>310</v>
      </c>
      <c r="S20" s="445" t="s">
        <v>310</v>
      </c>
      <c r="T20" s="446"/>
      <c r="U20" s="234"/>
      <c r="V20" s="447"/>
      <c r="W20" s="445"/>
    </row>
    <row r="21" spans="1:23" s="172" customFormat="1">
      <c r="A21" s="169"/>
      <c r="B21" s="170"/>
      <c r="C21" s="171"/>
      <c r="D21" s="173"/>
      <c r="E21" s="193">
        <f t="shared" ref="E21:W21" si="1">SUM(E22:E30)</f>
        <v>264</v>
      </c>
      <c r="F21" s="194">
        <f t="shared" si="1"/>
        <v>0</v>
      </c>
      <c r="G21" s="194">
        <f t="shared" si="1"/>
        <v>0</v>
      </c>
      <c r="H21" s="194">
        <f t="shared" si="1"/>
        <v>0</v>
      </c>
      <c r="I21" s="194">
        <f t="shared" si="1"/>
        <v>0</v>
      </c>
      <c r="J21" s="194">
        <f t="shared" si="1"/>
        <v>88</v>
      </c>
      <c r="K21" s="194">
        <f t="shared" si="1"/>
        <v>0</v>
      </c>
      <c r="L21" s="194">
        <f t="shared" si="1"/>
        <v>0</v>
      </c>
      <c r="M21" s="194">
        <f t="shared" si="1"/>
        <v>0</v>
      </c>
      <c r="N21" s="194">
        <f t="shared" si="1"/>
        <v>0</v>
      </c>
      <c r="O21" s="286">
        <f t="shared" si="1"/>
        <v>0</v>
      </c>
      <c r="P21" s="194">
        <f t="shared" si="1"/>
        <v>0</v>
      </c>
      <c r="Q21" s="448">
        <f t="shared" si="1"/>
        <v>0</v>
      </c>
      <c r="R21" s="194">
        <f t="shared" si="1"/>
        <v>0</v>
      </c>
      <c r="S21" s="195">
        <f t="shared" si="1"/>
        <v>0</v>
      </c>
      <c r="T21" s="449">
        <f t="shared" si="1"/>
        <v>0</v>
      </c>
      <c r="U21" s="194">
        <f t="shared" si="1"/>
        <v>0</v>
      </c>
      <c r="V21" s="448">
        <f t="shared" si="1"/>
        <v>0</v>
      </c>
      <c r="W21" s="195">
        <f t="shared" si="1"/>
        <v>0</v>
      </c>
    </row>
    <row r="22" spans="1:23" s="172" customFormat="1" ht="11.25" customHeight="1">
      <c r="B22" s="178"/>
      <c r="C22" s="179"/>
      <c r="D22" s="180"/>
      <c r="E22" s="199"/>
      <c r="F22" s="200"/>
      <c r="G22" s="200"/>
      <c r="H22" s="200"/>
      <c r="I22" s="200"/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3270</v>
      </c>
      <c r="C23" s="179" t="s">
        <v>3271</v>
      </c>
      <c r="D23" s="180">
        <v>4.4000000000000004</v>
      </c>
      <c r="E23" s="199">
        <f>D23*60</f>
        <v>264</v>
      </c>
      <c r="F23" s="200"/>
      <c r="G23" s="200"/>
      <c r="H23" s="200"/>
      <c r="I23" s="200"/>
      <c r="J23" s="200">
        <f>D23*20</f>
        <v>88</v>
      </c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X7:AA7"/>
    <mergeCell ref="E18:S18"/>
    <mergeCell ref="T18:W18"/>
    <mergeCell ref="G5:J5"/>
    <mergeCell ref="O5:R5"/>
    <mergeCell ref="H7:K7"/>
    <mergeCell ref="L7:O7"/>
    <mergeCell ref="P7:S7"/>
    <mergeCell ref="T7:W7"/>
    <mergeCell ref="G2:J2"/>
    <mergeCell ref="O2:R2"/>
    <mergeCell ref="G3:J3"/>
    <mergeCell ref="O3:R3"/>
    <mergeCell ref="G4:J4"/>
    <mergeCell ref="O4:R4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>
    <tabColor theme="8" tint="0.39997558519241921"/>
  </sheetPr>
  <dimension ref="A1:AG25"/>
  <sheetViews>
    <sheetView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1" spans="1:33" ht="26.25" customHeight="1">
      <c r="K1" s="3063">
        <v>44197</v>
      </c>
    </row>
    <row r="2" spans="1:33" ht="26.25" customHeight="1">
      <c r="C2" s="37" t="s">
        <v>3419</v>
      </c>
      <c r="E2" s="36" t="s">
        <v>50</v>
      </c>
      <c r="F2" s="39">
        <f>工事5!J2</f>
        <v>33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34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ア)東梅田駅の部-床仕上改造その他工事-機械設備工事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3296</v>
      </c>
      <c r="E8" s="99"/>
      <c r="F8" s="274">
        <v>1</v>
      </c>
      <c r="G8" s="115" t="s">
        <v>2462</v>
      </c>
      <c r="H8" s="101"/>
      <c r="I8" s="101">
        <v>1085299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1085299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3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3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3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v>132205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3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v>511139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3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+変更諸経費表!O74</f>
        <v>197174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3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840518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3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1925817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3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+変更諸経費表!O79</f>
        <v>1432000</v>
      </c>
      <c r="J24" s="92" t="s">
        <v>71</v>
      </c>
      <c r="K24" s="92"/>
      <c r="L24" s="820">
        <f>IF(C5="部分撤去工事",SUMIF(N6:N23,"費用",I6:I23),0)</f>
        <v>0</v>
      </c>
      <c r="M24" s="526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3" ht="14.25" customHeight="1">
      <c r="E25" s="120" t="s">
        <v>86</v>
      </c>
      <c r="F25" s="121">
        <f>+F2+1</f>
        <v>34</v>
      </c>
      <c r="G25" s="122" t="s">
        <v>49</v>
      </c>
      <c r="H25" s="123">
        <f>+H2</f>
        <v>35</v>
      </c>
      <c r="I25" s="123"/>
      <c r="M25" s="33" t="str">
        <f>IF(A27="","EOL","")</f>
        <v>EOL</v>
      </c>
      <c r="N25" s="1">
        <f>+F25</f>
        <v>34</v>
      </c>
    </row>
  </sheetData>
  <mergeCells count="4">
    <mergeCell ref="C3:L3"/>
    <mergeCell ref="O3:AG3"/>
    <mergeCell ref="J4:L4"/>
    <mergeCell ref="J5:L5"/>
  </mergeCells>
  <phoneticPr fontId="2"/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8" tint="0.39997558519241921"/>
  </sheetPr>
  <dimension ref="A1:AG25"/>
  <sheetViews>
    <sheetView tabSelected="1" zoomScale="75" zoomScaleNormal="75" workbookViewId="0">
      <selection activeCell="K1" sqref="K1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1" spans="1:33" ht="26.25" customHeight="1">
      <c r="K1" s="3063">
        <v>44197</v>
      </c>
    </row>
    <row r="2" spans="1:33" ht="26.25" customHeight="1">
      <c r="C2" s="37" t="s">
        <v>3420</v>
      </c>
      <c r="E2" s="36" t="s">
        <v>50</v>
      </c>
      <c r="F2" s="39">
        <f>工事6!J2</f>
        <v>34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35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イ)6号線堺筋本町駅の部-床仕上改造その他工事-機械設備工事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3296</v>
      </c>
      <c r="E8" s="99"/>
      <c r="F8" s="274">
        <v>1</v>
      </c>
      <c r="G8" s="115" t="s">
        <v>2462</v>
      </c>
      <c r="H8" s="101"/>
      <c r="I8" s="101">
        <v>1125615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1125615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3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3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3" s="39" customFormat="1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v>134186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3" s="39" customFormat="1" ht="24" customHeight="1">
      <c r="A20" s="38"/>
      <c r="B20" s="38"/>
      <c r="C20" s="102"/>
      <c r="D20" s="65" t="s">
        <v>3012</v>
      </c>
      <c r="E20" s="99"/>
      <c r="F20" s="274">
        <v>1</v>
      </c>
      <c r="G20" s="115" t="s">
        <v>7</v>
      </c>
      <c r="H20" s="101"/>
      <c r="I20" s="101">
        <v>528779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3" s="39" customFormat="1" ht="24" customHeight="1">
      <c r="A21" s="38"/>
      <c r="B21" s="38"/>
      <c r="C21" s="102"/>
      <c r="D21" s="65" t="s">
        <v>3011</v>
      </c>
      <c r="E21" s="99"/>
      <c r="F21" s="274">
        <v>1</v>
      </c>
      <c r="G21" s="115" t="s">
        <v>2466</v>
      </c>
      <c r="H21" s="101"/>
      <c r="I21" s="101">
        <f>+変更諸経費表!P74</f>
        <v>204012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3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866977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3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1992592</v>
      </c>
      <c r="J23" s="65" t="s">
        <v>3013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3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+変更諸経費表!P79</f>
        <v>1481000</v>
      </c>
      <c r="J24" s="92" t="s">
        <v>71</v>
      </c>
      <c r="K24" s="92"/>
      <c r="L24" s="820">
        <f>IF(C5="部分撤去工事",SUMIF(N6:N23,"費用",I6:I23),0)</f>
        <v>0</v>
      </c>
      <c r="M24" s="526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3" ht="14.25" customHeight="1">
      <c r="E25" s="120" t="s">
        <v>86</v>
      </c>
      <c r="F25" s="121">
        <f>+F2+1</f>
        <v>35</v>
      </c>
      <c r="G25" s="122" t="s">
        <v>49</v>
      </c>
      <c r="H25" s="123">
        <f>+H2</f>
        <v>35</v>
      </c>
      <c r="I25" s="123"/>
      <c r="M25" s="33" t="str">
        <f>IF(A27="","EOL","")</f>
        <v>EOL</v>
      </c>
      <c r="N25" s="1">
        <f>+F25</f>
        <v>35</v>
      </c>
    </row>
  </sheetData>
  <mergeCells count="4">
    <mergeCell ref="C3:L3"/>
    <mergeCell ref="O3:AG3"/>
    <mergeCell ref="J4:L4"/>
    <mergeCell ref="J5:L5"/>
  </mergeCells>
  <phoneticPr fontId="2"/>
  <printOptions horizontalCentered="1" verticalCentered="1"/>
  <pageMargins left="0.196850393700787" right="0.196850393700787" top="0.78740157480314998" bottom="0.196850393700787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A1:BA48"/>
  <sheetViews>
    <sheetView topLeftCell="A3" zoomScale="75" zoomScaleNormal="75" workbookViewId="0">
      <selection activeCell="A3" sqref="A3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4" width="3.6640625" style="1" customWidth="1"/>
    <col min="15" max="33" width="5.33203125" style="39" customWidth="1"/>
    <col min="34" max="34" width="3.5" style="1" customWidth="1"/>
    <col min="35" max="53" width="4.33203125" style="1" customWidth="1"/>
    <col min="54" max="16384" width="6.6640625" style="1"/>
  </cols>
  <sheetData>
    <row r="1" spans="1:53" ht="25.5" hidden="1" customHeight="1"/>
    <row r="2" spans="1:53" ht="24" hidden="1" customHeight="1">
      <c r="C2" s="37"/>
      <c r="E2" s="36" t="s">
        <v>50</v>
      </c>
      <c r="F2" s="82">
        <v>0</v>
      </c>
      <c r="G2" s="1"/>
      <c r="I2" s="4" t="s">
        <v>56</v>
      </c>
      <c r="J2" s="39">
        <f>VLOOKUP("EOL",$M$25:$N$65536,2,FALSE)</f>
        <v>2</v>
      </c>
    </row>
    <row r="3" spans="1:5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53" ht="42" customHeight="1">
      <c r="A4" s="5" t="s">
        <v>149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53" ht="24" customHeight="1">
      <c r="A5" s="236">
        <v>1</v>
      </c>
      <c r="B5" s="236">
        <v>1</v>
      </c>
      <c r="C5" s="128" t="s">
        <v>187</v>
      </c>
      <c r="D5" s="209" t="s">
        <v>154</v>
      </c>
      <c r="E5" s="210" t="s">
        <v>154</v>
      </c>
      <c r="F5" s="211" t="s">
        <v>154</v>
      </c>
      <c r="G5" s="212" t="s">
        <v>154</v>
      </c>
      <c r="H5" s="83" t="s">
        <v>11</v>
      </c>
      <c r="I5" s="91" t="s">
        <v>11</v>
      </c>
      <c r="J5" s="2819"/>
      <c r="K5" s="2820"/>
      <c r="L5" s="2821"/>
      <c r="M5" s="39"/>
      <c r="N5" s="39"/>
      <c r="O5" s="156"/>
      <c r="P5" s="157"/>
      <c r="Q5" s="287"/>
      <c r="R5" s="287"/>
      <c r="S5" s="287"/>
      <c r="T5" s="287"/>
      <c r="U5" s="287"/>
      <c r="V5" s="213"/>
      <c r="W5" s="213"/>
      <c r="X5" s="213"/>
      <c r="Y5" s="213"/>
      <c r="Z5" s="213"/>
      <c r="AA5" s="213"/>
      <c r="AB5" s="156"/>
      <c r="AC5" s="157"/>
      <c r="AD5" s="213"/>
      <c r="AE5" s="213"/>
      <c r="AF5" s="213"/>
      <c r="AG5" s="213"/>
    </row>
    <row r="6" spans="1:53" ht="24" customHeight="1">
      <c r="A6" s="38"/>
      <c r="B6" s="38"/>
      <c r="C6" s="191"/>
      <c r="D6" s="65"/>
      <c r="E6" s="99"/>
      <c r="F6" s="114"/>
      <c r="G6" s="115"/>
      <c r="H6" s="101"/>
      <c r="I6" s="101" t="str">
        <f t="shared" ref="I6:I23" si="0">IF(F6="","",ROUNDDOWN(F6*H6,0))</f>
        <v/>
      </c>
      <c r="J6" s="65"/>
      <c r="K6" s="65"/>
      <c r="L6" s="66"/>
      <c r="M6" s="39"/>
      <c r="N6" s="39"/>
      <c r="O6" s="156"/>
      <c r="P6" s="157"/>
      <c r="Q6" s="287"/>
      <c r="R6" s="287"/>
      <c r="S6" s="287"/>
      <c r="T6" s="287"/>
      <c r="U6" s="287"/>
      <c r="V6" s="213"/>
      <c r="W6" s="213"/>
      <c r="X6" s="213"/>
      <c r="Y6" s="213"/>
      <c r="Z6" s="213"/>
      <c r="AA6" s="213"/>
      <c r="AB6" s="156"/>
      <c r="AC6" s="157"/>
      <c r="AD6" s="213"/>
      <c r="AE6" s="213"/>
      <c r="AF6" s="213"/>
      <c r="AG6" s="213"/>
      <c r="AI6" s="205">
        <f>$F6*O6</f>
        <v>0</v>
      </c>
      <c r="AJ6" s="205">
        <f t="shared" ref="AJ6:BA6" si="1">$F6*P6</f>
        <v>0</v>
      </c>
      <c r="AK6" s="205">
        <f t="shared" si="1"/>
        <v>0</v>
      </c>
      <c r="AL6" s="205">
        <f t="shared" si="1"/>
        <v>0</v>
      </c>
      <c r="AM6" s="205">
        <f t="shared" si="1"/>
        <v>0</v>
      </c>
      <c r="AN6" s="205">
        <f t="shared" si="1"/>
        <v>0</v>
      </c>
      <c r="AO6" s="205">
        <f t="shared" si="1"/>
        <v>0</v>
      </c>
      <c r="AP6" s="205">
        <f t="shared" si="1"/>
        <v>0</v>
      </c>
      <c r="AQ6" s="205">
        <f t="shared" si="1"/>
        <v>0</v>
      </c>
      <c r="AR6" s="205">
        <f t="shared" si="1"/>
        <v>0</v>
      </c>
      <c r="AS6" s="205">
        <f t="shared" si="1"/>
        <v>0</v>
      </c>
      <c r="AT6" s="205">
        <f t="shared" si="1"/>
        <v>0</v>
      </c>
      <c r="AU6" s="205">
        <f t="shared" si="1"/>
        <v>0</v>
      </c>
      <c r="AV6" s="205">
        <f t="shared" si="1"/>
        <v>0</v>
      </c>
      <c r="AW6" s="205">
        <f t="shared" si="1"/>
        <v>0</v>
      </c>
      <c r="AX6" s="205">
        <f t="shared" si="1"/>
        <v>0</v>
      </c>
      <c r="AY6" s="205">
        <f t="shared" si="1"/>
        <v>0</v>
      </c>
      <c r="AZ6" s="205">
        <f t="shared" si="1"/>
        <v>0</v>
      </c>
      <c r="BA6" s="205">
        <f t="shared" si="1"/>
        <v>0</v>
      </c>
    </row>
    <row r="7" spans="1:53" ht="24" customHeight="1">
      <c r="A7" s="38"/>
      <c r="B7" s="38"/>
      <c r="C7" s="102"/>
      <c r="D7" s="65"/>
      <c r="E7" s="99"/>
      <c r="F7" s="114"/>
      <c r="G7" s="115"/>
      <c r="H7" s="101"/>
      <c r="I7" s="101" t="str">
        <f t="shared" si="0"/>
        <v/>
      </c>
      <c r="J7" s="65"/>
      <c r="K7" s="65"/>
      <c r="L7" s="66"/>
      <c r="M7" s="39"/>
      <c r="N7" s="39"/>
      <c r="O7" s="156"/>
      <c r="P7" s="157"/>
      <c r="Q7" s="287"/>
      <c r="R7" s="287"/>
      <c r="S7" s="287"/>
      <c r="T7" s="287"/>
      <c r="U7" s="287"/>
      <c r="V7" s="213"/>
      <c r="W7" s="213"/>
      <c r="X7" s="213"/>
      <c r="Y7" s="213"/>
      <c r="Z7" s="213"/>
      <c r="AA7" s="213"/>
      <c r="AB7" s="156"/>
      <c r="AC7" s="157"/>
      <c r="AD7" s="213"/>
      <c r="AE7" s="213"/>
      <c r="AF7" s="213"/>
      <c r="AG7" s="213"/>
      <c r="AI7" s="205">
        <f t="shared" ref="AI7:AI23" si="2">$F7*O7</f>
        <v>0</v>
      </c>
      <c r="AJ7" s="205">
        <f t="shared" ref="AJ7:AJ23" si="3">$F7*P7</f>
        <v>0</v>
      </c>
      <c r="AK7" s="205">
        <f t="shared" ref="AK7:AK23" si="4">$F7*Q7</f>
        <v>0</v>
      </c>
      <c r="AL7" s="205">
        <f t="shared" ref="AL7:AL23" si="5">$F7*R7</f>
        <v>0</v>
      </c>
      <c r="AM7" s="205">
        <f t="shared" ref="AM7:AM23" si="6">$F7*S7</f>
        <v>0</v>
      </c>
      <c r="AN7" s="205">
        <f t="shared" ref="AN7:AN23" si="7">$F7*T7</f>
        <v>0</v>
      </c>
      <c r="AO7" s="205">
        <f t="shared" ref="AO7:AO23" si="8">$F7*U7</f>
        <v>0</v>
      </c>
      <c r="AP7" s="205">
        <f t="shared" ref="AP7:AP23" si="9">$F7*V7</f>
        <v>0</v>
      </c>
      <c r="AQ7" s="205">
        <f t="shared" ref="AQ7:AQ23" si="10">$F7*W7</f>
        <v>0</v>
      </c>
      <c r="AR7" s="205">
        <f t="shared" ref="AR7:AR23" si="11">$F7*X7</f>
        <v>0</v>
      </c>
      <c r="AS7" s="205">
        <f t="shared" ref="AS7:AS23" si="12">$F7*Y7</f>
        <v>0</v>
      </c>
      <c r="AT7" s="205">
        <f t="shared" ref="AT7:AT23" si="13">$F7*Z7</f>
        <v>0</v>
      </c>
      <c r="AU7" s="205">
        <f t="shared" ref="AU7:AU23" si="14">$F7*AA7</f>
        <v>0</v>
      </c>
      <c r="AV7" s="205">
        <f t="shared" ref="AV7:AV23" si="15">$F7*AB7</f>
        <v>0</v>
      </c>
      <c r="AW7" s="205">
        <f t="shared" ref="AW7:AW23" si="16">$F7*AC7</f>
        <v>0</v>
      </c>
      <c r="AX7" s="205">
        <f t="shared" ref="AX7:AX23" si="17">$F7*AD7</f>
        <v>0</v>
      </c>
      <c r="AY7" s="205">
        <f t="shared" ref="AY7:AY23" si="18">$F7*AE7</f>
        <v>0</v>
      </c>
      <c r="AZ7" s="205">
        <f t="shared" ref="AZ7:AZ23" si="19">$F7*AF7</f>
        <v>0</v>
      </c>
      <c r="BA7" s="205">
        <f t="shared" ref="BA7:BA23" si="20">$F7*AG7</f>
        <v>0</v>
      </c>
    </row>
    <row r="8" spans="1:53" ht="24" customHeight="1">
      <c r="A8" s="38"/>
      <c r="B8" s="38"/>
      <c r="C8" s="102"/>
      <c r="D8" s="65"/>
      <c r="E8" s="99"/>
      <c r="F8" s="114"/>
      <c r="G8" s="115"/>
      <c r="H8" s="101"/>
      <c r="I8" s="101" t="str">
        <f t="shared" si="0"/>
        <v/>
      </c>
      <c r="J8" s="65"/>
      <c r="K8" s="65"/>
      <c r="L8" s="66"/>
      <c r="M8" s="39"/>
      <c r="N8" s="39"/>
      <c r="O8" s="156"/>
      <c r="P8" s="157"/>
      <c r="Q8" s="287"/>
      <c r="R8" s="287"/>
      <c r="S8" s="287"/>
      <c r="T8" s="287"/>
      <c r="U8" s="287"/>
      <c r="V8" s="213"/>
      <c r="W8" s="213"/>
      <c r="X8" s="213"/>
      <c r="Y8" s="213"/>
      <c r="Z8" s="213"/>
      <c r="AA8" s="213"/>
      <c r="AB8" s="156"/>
      <c r="AC8" s="157"/>
      <c r="AD8" s="213"/>
      <c r="AE8" s="213"/>
      <c r="AF8" s="213"/>
      <c r="AG8" s="213"/>
      <c r="AI8" s="205">
        <f t="shared" si="2"/>
        <v>0</v>
      </c>
      <c r="AJ8" s="205">
        <f t="shared" si="3"/>
        <v>0</v>
      </c>
      <c r="AK8" s="205">
        <f t="shared" si="4"/>
        <v>0</v>
      </c>
      <c r="AL8" s="205">
        <f t="shared" si="5"/>
        <v>0</v>
      </c>
      <c r="AM8" s="205">
        <f t="shared" si="6"/>
        <v>0</v>
      </c>
      <c r="AN8" s="205">
        <f t="shared" si="7"/>
        <v>0</v>
      </c>
      <c r="AO8" s="205">
        <f t="shared" si="8"/>
        <v>0</v>
      </c>
      <c r="AP8" s="205">
        <f t="shared" si="9"/>
        <v>0</v>
      </c>
      <c r="AQ8" s="205">
        <f t="shared" si="10"/>
        <v>0</v>
      </c>
      <c r="AR8" s="205">
        <f t="shared" si="11"/>
        <v>0</v>
      </c>
      <c r="AS8" s="205">
        <f t="shared" si="12"/>
        <v>0</v>
      </c>
      <c r="AT8" s="205">
        <f t="shared" si="13"/>
        <v>0</v>
      </c>
      <c r="AU8" s="205">
        <f t="shared" si="14"/>
        <v>0</v>
      </c>
      <c r="AV8" s="205">
        <f t="shared" si="15"/>
        <v>0</v>
      </c>
      <c r="AW8" s="205">
        <f t="shared" si="16"/>
        <v>0</v>
      </c>
      <c r="AX8" s="205">
        <f t="shared" si="17"/>
        <v>0</v>
      </c>
      <c r="AY8" s="205">
        <f t="shared" si="18"/>
        <v>0</v>
      </c>
      <c r="AZ8" s="205">
        <f t="shared" si="19"/>
        <v>0</v>
      </c>
      <c r="BA8" s="205">
        <f t="shared" si="20"/>
        <v>0</v>
      </c>
    </row>
    <row r="9" spans="1:53" ht="24" customHeight="1">
      <c r="A9" s="38"/>
      <c r="B9" s="38"/>
      <c r="C9" s="102"/>
      <c r="D9" s="65"/>
      <c r="E9" s="99"/>
      <c r="F9" s="114"/>
      <c r="G9" s="115"/>
      <c r="H9" s="101"/>
      <c r="I9" s="101" t="str">
        <f t="shared" si="0"/>
        <v/>
      </c>
      <c r="J9" s="65"/>
      <c r="K9" s="65"/>
      <c r="L9" s="66"/>
      <c r="M9" s="39"/>
      <c r="N9" s="39"/>
      <c r="O9" s="156"/>
      <c r="P9" s="157"/>
      <c r="Q9" s="287"/>
      <c r="R9" s="287"/>
      <c r="S9" s="287"/>
      <c r="T9" s="287"/>
      <c r="U9" s="287"/>
      <c r="V9" s="213"/>
      <c r="W9" s="213"/>
      <c r="X9" s="213"/>
      <c r="Y9" s="213"/>
      <c r="Z9" s="213"/>
      <c r="AA9" s="213"/>
      <c r="AB9" s="156"/>
      <c r="AC9" s="157"/>
      <c r="AD9" s="213"/>
      <c r="AE9" s="213"/>
      <c r="AF9" s="213"/>
      <c r="AG9" s="213"/>
      <c r="AI9" s="205">
        <f t="shared" si="2"/>
        <v>0</v>
      </c>
      <c r="AJ9" s="205">
        <f t="shared" si="3"/>
        <v>0</v>
      </c>
      <c r="AK9" s="205">
        <f t="shared" si="4"/>
        <v>0</v>
      </c>
      <c r="AL9" s="205">
        <f t="shared" si="5"/>
        <v>0</v>
      </c>
      <c r="AM9" s="205">
        <f t="shared" si="6"/>
        <v>0</v>
      </c>
      <c r="AN9" s="205">
        <f t="shared" si="7"/>
        <v>0</v>
      </c>
      <c r="AO9" s="205">
        <f t="shared" si="8"/>
        <v>0</v>
      </c>
      <c r="AP9" s="205">
        <f t="shared" si="9"/>
        <v>0</v>
      </c>
      <c r="AQ9" s="205">
        <f t="shared" si="10"/>
        <v>0</v>
      </c>
      <c r="AR9" s="205">
        <f t="shared" si="11"/>
        <v>0</v>
      </c>
      <c r="AS9" s="205">
        <f t="shared" si="12"/>
        <v>0</v>
      </c>
      <c r="AT9" s="205">
        <f t="shared" si="13"/>
        <v>0</v>
      </c>
      <c r="AU9" s="205">
        <f t="shared" si="14"/>
        <v>0</v>
      </c>
      <c r="AV9" s="205">
        <f t="shared" si="15"/>
        <v>0</v>
      </c>
      <c r="AW9" s="205">
        <f t="shared" si="16"/>
        <v>0</v>
      </c>
      <c r="AX9" s="205">
        <f t="shared" si="17"/>
        <v>0</v>
      </c>
      <c r="AY9" s="205">
        <f t="shared" si="18"/>
        <v>0</v>
      </c>
      <c r="AZ9" s="205">
        <f t="shared" si="19"/>
        <v>0</v>
      </c>
      <c r="BA9" s="205">
        <f t="shared" si="20"/>
        <v>0</v>
      </c>
    </row>
    <row r="10" spans="1:53" ht="24" customHeight="1">
      <c r="A10" s="38"/>
      <c r="B10" s="38"/>
      <c r="C10" s="102"/>
      <c r="D10" s="65"/>
      <c r="E10" s="99"/>
      <c r="F10" s="114"/>
      <c r="G10" s="115"/>
      <c r="H10" s="101"/>
      <c r="I10" s="101" t="str">
        <f t="shared" si="0"/>
        <v/>
      </c>
      <c r="J10" s="65"/>
      <c r="K10" s="65"/>
      <c r="L10" s="66"/>
      <c r="M10" s="39"/>
      <c r="N10" s="39"/>
      <c r="O10" s="156"/>
      <c r="P10" s="157"/>
      <c r="Q10" s="287"/>
      <c r="R10" s="287"/>
      <c r="S10" s="287"/>
      <c r="T10" s="287"/>
      <c r="U10" s="287"/>
      <c r="V10" s="213"/>
      <c r="W10" s="213"/>
      <c r="X10" s="213"/>
      <c r="Y10" s="213"/>
      <c r="Z10" s="213"/>
      <c r="AA10" s="213"/>
      <c r="AB10" s="156"/>
      <c r="AC10" s="157"/>
      <c r="AD10" s="213"/>
      <c r="AE10" s="213"/>
      <c r="AF10" s="213"/>
      <c r="AG10" s="213"/>
      <c r="AI10" s="205">
        <f t="shared" si="2"/>
        <v>0</v>
      </c>
      <c r="AJ10" s="205">
        <f t="shared" si="3"/>
        <v>0</v>
      </c>
      <c r="AK10" s="205">
        <f t="shared" si="4"/>
        <v>0</v>
      </c>
      <c r="AL10" s="205">
        <f t="shared" si="5"/>
        <v>0</v>
      </c>
      <c r="AM10" s="205">
        <f t="shared" si="6"/>
        <v>0</v>
      </c>
      <c r="AN10" s="205">
        <f t="shared" si="7"/>
        <v>0</v>
      </c>
      <c r="AO10" s="205">
        <f t="shared" si="8"/>
        <v>0</v>
      </c>
      <c r="AP10" s="205">
        <f t="shared" si="9"/>
        <v>0</v>
      </c>
      <c r="AQ10" s="205">
        <f t="shared" si="10"/>
        <v>0</v>
      </c>
      <c r="AR10" s="205">
        <f t="shared" si="11"/>
        <v>0</v>
      </c>
      <c r="AS10" s="205">
        <f t="shared" si="12"/>
        <v>0</v>
      </c>
      <c r="AT10" s="205">
        <f t="shared" si="13"/>
        <v>0</v>
      </c>
      <c r="AU10" s="205">
        <f t="shared" si="14"/>
        <v>0</v>
      </c>
      <c r="AV10" s="205">
        <f t="shared" si="15"/>
        <v>0</v>
      </c>
      <c r="AW10" s="205">
        <f t="shared" si="16"/>
        <v>0</v>
      </c>
      <c r="AX10" s="205">
        <f t="shared" si="17"/>
        <v>0</v>
      </c>
      <c r="AY10" s="205">
        <f t="shared" si="18"/>
        <v>0</v>
      </c>
      <c r="AZ10" s="205">
        <f t="shared" si="19"/>
        <v>0</v>
      </c>
      <c r="BA10" s="205">
        <f t="shared" si="20"/>
        <v>0</v>
      </c>
    </row>
    <row r="11" spans="1:53" ht="24" customHeight="1">
      <c r="A11" s="38"/>
      <c r="B11" s="38"/>
      <c r="C11" s="102"/>
      <c r="D11" s="65"/>
      <c r="E11" s="99"/>
      <c r="F11" s="114"/>
      <c r="G11" s="115"/>
      <c r="H11" s="101"/>
      <c r="I11" s="101" t="str">
        <f t="shared" si="0"/>
        <v/>
      </c>
      <c r="J11" s="65"/>
      <c r="K11" s="65"/>
      <c r="L11" s="66"/>
      <c r="M11" s="39"/>
      <c r="N11" s="39"/>
      <c r="O11" s="156"/>
      <c r="P11" s="157"/>
      <c r="Q11" s="287"/>
      <c r="R11" s="287"/>
      <c r="S11" s="287"/>
      <c r="T11" s="287"/>
      <c r="U11" s="287"/>
      <c r="V11" s="213"/>
      <c r="W11" s="213"/>
      <c r="X11" s="213"/>
      <c r="Y11" s="213"/>
      <c r="Z11" s="213"/>
      <c r="AA11" s="213"/>
      <c r="AB11" s="156"/>
      <c r="AC11" s="157"/>
      <c r="AD11" s="213"/>
      <c r="AE11" s="213"/>
      <c r="AF11" s="213"/>
      <c r="AG11" s="213"/>
      <c r="AI11" s="205">
        <f t="shared" si="2"/>
        <v>0</v>
      </c>
      <c r="AJ11" s="205">
        <f t="shared" si="3"/>
        <v>0</v>
      </c>
      <c r="AK11" s="205">
        <f t="shared" si="4"/>
        <v>0</v>
      </c>
      <c r="AL11" s="205">
        <f t="shared" si="5"/>
        <v>0</v>
      </c>
      <c r="AM11" s="205">
        <f t="shared" si="6"/>
        <v>0</v>
      </c>
      <c r="AN11" s="205">
        <f t="shared" si="7"/>
        <v>0</v>
      </c>
      <c r="AO11" s="205">
        <f t="shared" si="8"/>
        <v>0</v>
      </c>
      <c r="AP11" s="205">
        <f t="shared" si="9"/>
        <v>0</v>
      </c>
      <c r="AQ11" s="205">
        <f t="shared" si="10"/>
        <v>0</v>
      </c>
      <c r="AR11" s="205">
        <f t="shared" si="11"/>
        <v>0</v>
      </c>
      <c r="AS11" s="205">
        <f t="shared" si="12"/>
        <v>0</v>
      </c>
      <c r="AT11" s="205">
        <f t="shared" si="13"/>
        <v>0</v>
      </c>
      <c r="AU11" s="205">
        <f t="shared" si="14"/>
        <v>0</v>
      </c>
      <c r="AV11" s="205">
        <f t="shared" si="15"/>
        <v>0</v>
      </c>
      <c r="AW11" s="205">
        <f t="shared" si="16"/>
        <v>0</v>
      </c>
      <c r="AX11" s="205">
        <f t="shared" si="17"/>
        <v>0</v>
      </c>
      <c r="AY11" s="205">
        <f t="shared" si="18"/>
        <v>0</v>
      </c>
      <c r="AZ11" s="205">
        <f t="shared" si="19"/>
        <v>0</v>
      </c>
      <c r="BA11" s="205">
        <f t="shared" si="20"/>
        <v>0</v>
      </c>
    </row>
    <row r="12" spans="1:53" s="39" customFormat="1" ht="24" customHeight="1">
      <c r="A12" s="38"/>
      <c r="B12" s="38"/>
      <c r="C12" s="102"/>
      <c r="D12" s="65"/>
      <c r="E12" s="99"/>
      <c r="F12" s="114"/>
      <c r="G12" s="115"/>
      <c r="H12" s="101"/>
      <c r="I12" s="101" t="str">
        <f t="shared" si="0"/>
        <v/>
      </c>
      <c r="J12" s="65"/>
      <c r="K12" s="65"/>
      <c r="L12" s="66"/>
      <c r="O12" s="156"/>
      <c r="P12" s="157"/>
      <c r="Q12" s="287"/>
      <c r="R12" s="287"/>
      <c r="S12" s="287"/>
      <c r="T12" s="287"/>
      <c r="U12" s="287"/>
      <c r="V12" s="213"/>
      <c r="W12" s="213"/>
      <c r="X12" s="213"/>
      <c r="Y12" s="213"/>
      <c r="Z12" s="213"/>
      <c r="AA12" s="213"/>
      <c r="AB12" s="156"/>
      <c r="AC12" s="157"/>
      <c r="AD12" s="213"/>
      <c r="AE12" s="213"/>
      <c r="AF12" s="213"/>
      <c r="AG12" s="213"/>
      <c r="AI12" s="205">
        <f t="shared" si="2"/>
        <v>0</v>
      </c>
      <c r="AJ12" s="205">
        <f t="shared" si="3"/>
        <v>0</v>
      </c>
      <c r="AK12" s="205">
        <f t="shared" si="4"/>
        <v>0</v>
      </c>
      <c r="AL12" s="205">
        <f t="shared" si="5"/>
        <v>0</v>
      </c>
      <c r="AM12" s="205">
        <f t="shared" si="6"/>
        <v>0</v>
      </c>
      <c r="AN12" s="205">
        <f t="shared" si="7"/>
        <v>0</v>
      </c>
      <c r="AO12" s="205">
        <f t="shared" si="8"/>
        <v>0</v>
      </c>
      <c r="AP12" s="205">
        <f t="shared" si="9"/>
        <v>0</v>
      </c>
      <c r="AQ12" s="205">
        <f t="shared" si="10"/>
        <v>0</v>
      </c>
      <c r="AR12" s="205">
        <f t="shared" si="11"/>
        <v>0</v>
      </c>
      <c r="AS12" s="205">
        <f t="shared" si="12"/>
        <v>0</v>
      </c>
      <c r="AT12" s="205">
        <f t="shared" si="13"/>
        <v>0</v>
      </c>
      <c r="AU12" s="205">
        <f t="shared" si="14"/>
        <v>0</v>
      </c>
      <c r="AV12" s="205">
        <f t="shared" si="15"/>
        <v>0</v>
      </c>
      <c r="AW12" s="205">
        <f t="shared" si="16"/>
        <v>0</v>
      </c>
      <c r="AX12" s="205">
        <f t="shared" si="17"/>
        <v>0</v>
      </c>
      <c r="AY12" s="205">
        <f t="shared" si="18"/>
        <v>0</v>
      </c>
      <c r="AZ12" s="205">
        <f t="shared" si="19"/>
        <v>0</v>
      </c>
      <c r="BA12" s="205">
        <f t="shared" si="20"/>
        <v>0</v>
      </c>
    </row>
    <row r="13" spans="1:53" ht="24" customHeight="1">
      <c r="A13" s="38"/>
      <c r="B13" s="38"/>
      <c r="C13" s="102"/>
      <c r="D13" s="65"/>
      <c r="E13" s="99"/>
      <c r="F13" s="114"/>
      <c r="G13" s="115"/>
      <c r="H13" s="101"/>
      <c r="I13" s="101" t="str">
        <f t="shared" si="0"/>
        <v/>
      </c>
      <c r="J13" s="65"/>
      <c r="K13" s="65"/>
      <c r="L13" s="66"/>
      <c r="M13" s="39"/>
      <c r="N13" s="39"/>
      <c r="O13" s="156"/>
      <c r="P13" s="157"/>
      <c r="Q13" s="287"/>
      <c r="R13" s="287"/>
      <c r="S13" s="287"/>
      <c r="T13" s="287"/>
      <c r="U13" s="287"/>
      <c r="V13" s="213"/>
      <c r="W13" s="213"/>
      <c r="X13" s="213"/>
      <c r="Y13" s="213"/>
      <c r="Z13" s="213"/>
      <c r="AA13" s="213"/>
      <c r="AB13" s="156"/>
      <c r="AC13" s="157"/>
      <c r="AD13" s="213"/>
      <c r="AE13" s="213"/>
      <c r="AF13" s="213"/>
      <c r="AG13" s="213"/>
      <c r="AI13" s="205">
        <f t="shared" si="2"/>
        <v>0</v>
      </c>
      <c r="AJ13" s="205">
        <f t="shared" si="3"/>
        <v>0</v>
      </c>
      <c r="AK13" s="205">
        <f t="shared" si="4"/>
        <v>0</v>
      </c>
      <c r="AL13" s="205">
        <f t="shared" si="5"/>
        <v>0</v>
      </c>
      <c r="AM13" s="205">
        <f t="shared" si="6"/>
        <v>0</v>
      </c>
      <c r="AN13" s="205">
        <f t="shared" si="7"/>
        <v>0</v>
      </c>
      <c r="AO13" s="205">
        <f t="shared" si="8"/>
        <v>0</v>
      </c>
      <c r="AP13" s="205">
        <f t="shared" si="9"/>
        <v>0</v>
      </c>
      <c r="AQ13" s="205">
        <f t="shared" si="10"/>
        <v>0</v>
      </c>
      <c r="AR13" s="205">
        <f t="shared" si="11"/>
        <v>0</v>
      </c>
      <c r="AS13" s="205">
        <f t="shared" si="12"/>
        <v>0</v>
      </c>
      <c r="AT13" s="205">
        <f t="shared" si="13"/>
        <v>0</v>
      </c>
      <c r="AU13" s="205">
        <f t="shared" si="14"/>
        <v>0</v>
      </c>
      <c r="AV13" s="205">
        <f t="shared" si="15"/>
        <v>0</v>
      </c>
      <c r="AW13" s="205">
        <f t="shared" si="16"/>
        <v>0</v>
      </c>
      <c r="AX13" s="205">
        <f t="shared" si="17"/>
        <v>0</v>
      </c>
      <c r="AY13" s="205">
        <f t="shared" si="18"/>
        <v>0</v>
      </c>
      <c r="AZ13" s="205">
        <f t="shared" si="19"/>
        <v>0</v>
      </c>
      <c r="BA13" s="205">
        <f t="shared" si="20"/>
        <v>0</v>
      </c>
    </row>
    <row r="14" spans="1:53" ht="24" customHeight="1">
      <c r="A14" s="38"/>
      <c r="B14" s="38"/>
      <c r="C14" s="102"/>
      <c r="D14" s="65"/>
      <c r="E14" s="208"/>
      <c r="F14" s="114"/>
      <c r="G14" s="115"/>
      <c r="H14" s="101"/>
      <c r="I14" s="101" t="str">
        <f t="shared" si="0"/>
        <v/>
      </c>
      <c r="J14" s="65"/>
      <c r="K14" s="65"/>
      <c r="L14" s="66"/>
      <c r="M14" s="39"/>
      <c r="N14" s="39"/>
      <c r="O14" s="156"/>
      <c r="P14" s="157"/>
      <c r="Q14" s="287"/>
      <c r="R14" s="287"/>
      <c r="S14" s="287"/>
      <c r="T14" s="287"/>
      <c r="U14" s="287"/>
      <c r="V14" s="213"/>
      <c r="W14" s="213"/>
      <c r="X14" s="213"/>
      <c r="Y14" s="213"/>
      <c r="Z14" s="213"/>
      <c r="AA14" s="213"/>
      <c r="AB14" s="156"/>
      <c r="AC14" s="157"/>
      <c r="AD14" s="213"/>
      <c r="AE14" s="213"/>
      <c r="AF14" s="213"/>
      <c r="AG14" s="213"/>
      <c r="AI14" s="205">
        <f t="shared" si="2"/>
        <v>0</v>
      </c>
      <c r="AJ14" s="205">
        <f t="shared" si="3"/>
        <v>0</v>
      </c>
      <c r="AK14" s="205">
        <f t="shared" si="4"/>
        <v>0</v>
      </c>
      <c r="AL14" s="205">
        <f t="shared" si="5"/>
        <v>0</v>
      </c>
      <c r="AM14" s="205">
        <f t="shared" si="6"/>
        <v>0</v>
      </c>
      <c r="AN14" s="205">
        <f t="shared" si="7"/>
        <v>0</v>
      </c>
      <c r="AO14" s="205">
        <f t="shared" si="8"/>
        <v>0</v>
      </c>
      <c r="AP14" s="205">
        <f t="shared" si="9"/>
        <v>0</v>
      </c>
      <c r="AQ14" s="205">
        <f t="shared" si="10"/>
        <v>0</v>
      </c>
      <c r="AR14" s="205">
        <f t="shared" si="11"/>
        <v>0</v>
      </c>
      <c r="AS14" s="205">
        <f t="shared" si="12"/>
        <v>0</v>
      </c>
      <c r="AT14" s="205">
        <f t="shared" si="13"/>
        <v>0</v>
      </c>
      <c r="AU14" s="205">
        <f t="shared" si="14"/>
        <v>0</v>
      </c>
      <c r="AV14" s="205">
        <f t="shared" si="15"/>
        <v>0</v>
      </c>
      <c r="AW14" s="205">
        <f t="shared" si="16"/>
        <v>0</v>
      </c>
      <c r="AX14" s="205">
        <f t="shared" si="17"/>
        <v>0</v>
      </c>
      <c r="AY14" s="205">
        <f t="shared" si="18"/>
        <v>0</v>
      </c>
      <c r="AZ14" s="205">
        <f t="shared" si="19"/>
        <v>0</v>
      </c>
      <c r="BA14" s="205">
        <f t="shared" si="20"/>
        <v>0</v>
      </c>
    </row>
    <row r="15" spans="1:53" s="39" customFormat="1" ht="24" customHeight="1">
      <c r="A15" s="38"/>
      <c r="B15" s="38"/>
      <c r="C15" s="102"/>
      <c r="D15" s="65"/>
      <c r="E15" s="99"/>
      <c r="F15" s="114"/>
      <c r="G15" s="115"/>
      <c r="H15" s="101"/>
      <c r="I15" s="101" t="str">
        <f t="shared" si="0"/>
        <v/>
      </c>
      <c r="J15" s="65"/>
      <c r="K15" s="65"/>
      <c r="L15" s="66"/>
      <c r="O15" s="156"/>
      <c r="P15" s="157"/>
      <c r="Q15" s="287"/>
      <c r="R15" s="287"/>
      <c r="S15" s="287"/>
      <c r="T15" s="287"/>
      <c r="U15" s="287"/>
      <c r="V15" s="213"/>
      <c r="W15" s="213"/>
      <c r="X15" s="213"/>
      <c r="Y15" s="213"/>
      <c r="Z15" s="213"/>
      <c r="AA15" s="213"/>
      <c r="AB15" s="156"/>
      <c r="AC15" s="157"/>
      <c r="AD15" s="213"/>
      <c r="AE15" s="213"/>
      <c r="AF15" s="213"/>
      <c r="AG15" s="213"/>
      <c r="AI15" s="205">
        <f t="shared" si="2"/>
        <v>0</v>
      </c>
      <c r="AJ15" s="205">
        <f t="shared" si="3"/>
        <v>0</v>
      </c>
      <c r="AK15" s="205">
        <f t="shared" si="4"/>
        <v>0</v>
      </c>
      <c r="AL15" s="205">
        <f t="shared" si="5"/>
        <v>0</v>
      </c>
      <c r="AM15" s="205">
        <f t="shared" si="6"/>
        <v>0</v>
      </c>
      <c r="AN15" s="205">
        <f t="shared" si="7"/>
        <v>0</v>
      </c>
      <c r="AO15" s="205">
        <f t="shared" si="8"/>
        <v>0</v>
      </c>
      <c r="AP15" s="205">
        <f t="shared" si="9"/>
        <v>0</v>
      </c>
      <c r="AQ15" s="205">
        <f t="shared" si="10"/>
        <v>0</v>
      </c>
      <c r="AR15" s="205">
        <f t="shared" si="11"/>
        <v>0</v>
      </c>
      <c r="AS15" s="205">
        <f t="shared" si="12"/>
        <v>0</v>
      </c>
      <c r="AT15" s="205">
        <f t="shared" si="13"/>
        <v>0</v>
      </c>
      <c r="AU15" s="205">
        <f t="shared" si="14"/>
        <v>0</v>
      </c>
      <c r="AV15" s="205">
        <f t="shared" si="15"/>
        <v>0</v>
      </c>
      <c r="AW15" s="205">
        <f t="shared" si="16"/>
        <v>0</v>
      </c>
      <c r="AX15" s="205">
        <f t="shared" si="17"/>
        <v>0</v>
      </c>
      <c r="AY15" s="205">
        <f t="shared" si="18"/>
        <v>0</v>
      </c>
      <c r="AZ15" s="205">
        <f t="shared" si="19"/>
        <v>0</v>
      </c>
      <c r="BA15" s="205">
        <f t="shared" si="20"/>
        <v>0</v>
      </c>
    </row>
    <row r="16" spans="1:53" ht="24" customHeight="1">
      <c r="A16" s="38"/>
      <c r="B16" s="38"/>
      <c r="C16" s="102"/>
      <c r="D16" s="65"/>
      <c r="E16" s="99"/>
      <c r="F16" s="114"/>
      <c r="G16" s="115"/>
      <c r="H16" s="101"/>
      <c r="I16" s="101" t="str">
        <f t="shared" si="0"/>
        <v/>
      </c>
      <c r="J16" s="65"/>
      <c r="K16" s="65"/>
      <c r="L16" s="66"/>
      <c r="M16" s="39"/>
      <c r="N16" s="39"/>
      <c r="O16" s="156"/>
      <c r="P16" s="157"/>
      <c r="Q16" s="287"/>
      <c r="R16" s="287"/>
      <c r="S16" s="287"/>
      <c r="T16" s="287"/>
      <c r="U16" s="287"/>
      <c r="V16" s="213"/>
      <c r="W16" s="213"/>
      <c r="X16" s="213"/>
      <c r="Y16" s="213"/>
      <c r="Z16" s="213"/>
      <c r="AA16" s="213"/>
      <c r="AB16" s="156"/>
      <c r="AC16" s="157"/>
      <c r="AD16" s="213"/>
      <c r="AE16" s="213"/>
      <c r="AF16" s="213"/>
      <c r="AG16" s="213"/>
      <c r="AI16" s="205">
        <f t="shared" si="2"/>
        <v>0</v>
      </c>
      <c r="AJ16" s="205">
        <f t="shared" si="3"/>
        <v>0</v>
      </c>
      <c r="AK16" s="205">
        <f t="shared" si="4"/>
        <v>0</v>
      </c>
      <c r="AL16" s="205">
        <f t="shared" si="5"/>
        <v>0</v>
      </c>
      <c r="AM16" s="205">
        <f t="shared" si="6"/>
        <v>0</v>
      </c>
      <c r="AN16" s="205">
        <f t="shared" si="7"/>
        <v>0</v>
      </c>
      <c r="AO16" s="205">
        <f t="shared" si="8"/>
        <v>0</v>
      </c>
      <c r="AP16" s="205">
        <f t="shared" si="9"/>
        <v>0</v>
      </c>
      <c r="AQ16" s="205">
        <f t="shared" si="10"/>
        <v>0</v>
      </c>
      <c r="AR16" s="205">
        <f t="shared" si="11"/>
        <v>0</v>
      </c>
      <c r="AS16" s="205">
        <f t="shared" si="12"/>
        <v>0</v>
      </c>
      <c r="AT16" s="205">
        <f t="shared" si="13"/>
        <v>0</v>
      </c>
      <c r="AU16" s="205">
        <f t="shared" si="14"/>
        <v>0</v>
      </c>
      <c r="AV16" s="205">
        <f t="shared" si="15"/>
        <v>0</v>
      </c>
      <c r="AW16" s="205">
        <f t="shared" si="16"/>
        <v>0</v>
      </c>
      <c r="AX16" s="205">
        <f t="shared" si="17"/>
        <v>0</v>
      </c>
      <c r="AY16" s="205">
        <f t="shared" si="18"/>
        <v>0</v>
      </c>
      <c r="AZ16" s="205">
        <f t="shared" si="19"/>
        <v>0</v>
      </c>
      <c r="BA16" s="205">
        <f t="shared" si="20"/>
        <v>0</v>
      </c>
    </row>
    <row r="17" spans="1:53" s="39" customFormat="1" ht="24" customHeight="1">
      <c r="A17" s="38"/>
      <c r="B17" s="38"/>
      <c r="C17" s="102"/>
      <c r="D17" s="65"/>
      <c r="E17" s="99"/>
      <c r="F17" s="114"/>
      <c r="G17" s="115"/>
      <c r="H17" s="101"/>
      <c r="I17" s="101" t="str">
        <f t="shared" si="0"/>
        <v/>
      </c>
      <c r="J17" s="65"/>
      <c r="K17" s="65"/>
      <c r="L17" s="66"/>
      <c r="O17" s="156"/>
      <c r="P17" s="157"/>
      <c r="Q17" s="287"/>
      <c r="R17" s="287"/>
      <c r="S17" s="287"/>
      <c r="T17" s="287"/>
      <c r="U17" s="287"/>
      <c r="V17" s="213"/>
      <c r="W17" s="213"/>
      <c r="X17" s="213"/>
      <c r="Y17" s="213"/>
      <c r="Z17" s="213"/>
      <c r="AA17" s="213"/>
      <c r="AB17" s="156"/>
      <c r="AC17" s="157"/>
      <c r="AD17" s="213"/>
      <c r="AE17" s="213"/>
      <c r="AF17" s="213"/>
      <c r="AG17" s="213"/>
      <c r="AI17" s="205">
        <f t="shared" si="2"/>
        <v>0</v>
      </c>
      <c r="AJ17" s="205">
        <f t="shared" si="3"/>
        <v>0</v>
      </c>
      <c r="AK17" s="205">
        <f t="shared" si="4"/>
        <v>0</v>
      </c>
      <c r="AL17" s="205">
        <f t="shared" si="5"/>
        <v>0</v>
      </c>
      <c r="AM17" s="205">
        <f t="shared" si="6"/>
        <v>0</v>
      </c>
      <c r="AN17" s="205">
        <f t="shared" si="7"/>
        <v>0</v>
      </c>
      <c r="AO17" s="205">
        <f t="shared" si="8"/>
        <v>0</v>
      </c>
      <c r="AP17" s="205">
        <f t="shared" si="9"/>
        <v>0</v>
      </c>
      <c r="AQ17" s="205">
        <f t="shared" si="10"/>
        <v>0</v>
      </c>
      <c r="AR17" s="205">
        <f t="shared" si="11"/>
        <v>0</v>
      </c>
      <c r="AS17" s="205">
        <f t="shared" si="12"/>
        <v>0</v>
      </c>
      <c r="AT17" s="205">
        <f t="shared" si="13"/>
        <v>0</v>
      </c>
      <c r="AU17" s="205">
        <f t="shared" si="14"/>
        <v>0</v>
      </c>
      <c r="AV17" s="205">
        <f t="shared" si="15"/>
        <v>0</v>
      </c>
      <c r="AW17" s="205">
        <f t="shared" si="16"/>
        <v>0</v>
      </c>
      <c r="AX17" s="205">
        <f t="shared" si="17"/>
        <v>0</v>
      </c>
      <c r="AY17" s="205">
        <f t="shared" si="18"/>
        <v>0</v>
      </c>
      <c r="AZ17" s="205">
        <f t="shared" si="19"/>
        <v>0</v>
      </c>
      <c r="BA17" s="205">
        <f t="shared" si="20"/>
        <v>0</v>
      </c>
    </row>
    <row r="18" spans="1:53" ht="24" customHeight="1">
      <c r="A18" s="38"/>
      <c r="B18" s="38"/>
      <c r="C18" s="191"/>
      <c r="D18" s="65"/>
      <c r="E18" s="99"/>
      <c r="F18" s="114"/>
      <c r="G18" s="115"/>
      <c r="H18" s="101"/>
      <c r="I18" s="101" t="str">
        <f t="shared" si="0"/>
        <v/>
      </c>
      <c r="J18" s="65"/>
      <c r="K18" s="65"/>
      <c r="L18" s="66"/>
      <c r="M18" s="39"/>
      <c r="N18" s="39"/>
      <c r="O18" s="156"/>
      <c r="P18" s="157"/>
      <c r="Q18" s="287"/>
      <c r="R18" s="287"/>
      <c r="S18" s="287"/>
      <c r="T18" s="287"/>
      <c r="U18" s="287"/>
      <c r="V18" s="213"/>
      <c r="W18" s="213"/>
      <c r="X18" s="213"/>
      <c r="Y18" s="213"/>
      <c r="Z18" s="213"/>
      <c r="AA18" s="213"/>
      <c r="AB18" s="156"/>
      <c r="AC18" s="157"/>
      <c r="AD18" s="213"/>
      <c r="AE18" s="213"/>
      <c r="AF18" s="213"/>
      <c r="AG18" s="213"/>
      <c r="AI18" s="205">
        <f t="shared" si="2"/>
        <v>0</v>
      </c>
      <c r="AJ18" s="205">
        <f t="shared" si="3"/>
        <v>0</v>
      </c>
      <c r="AK18" s="205">
        <f t="shared" si="4"/>
        <v>0</v>
      </c>
      <c r="AL18" s="205">
        <f t="shared" si="5"/>
        <v>0</v>
      </c>
      <c r="AM18" s="205">
        <f t="shared" si="6"/>
        <v>0</v>
      </c>
      <c r="AN18" s="205">
        <f t="shared" si="7"/>
        <v>0</v>
      </c>
      <c r="AO18" s="205">
        <f t="shared" si="8"/>
        <v>0</v>
      </c>
      <c r="AP18" s="205">
        <f t="shared" si="9"/>
        <v>0</v>
      </c>
      <c r="AQ18" s="205">
        <f t="shared" si="10"/>
        <v>0</v>
      </c>
      <c r="AR18" s="205">
        <f t="shared" si="11"/>
        <v>0</v>
      </c>
      <c r="AS18" s="205">
        <f t="shared" si="12"/>
        <v>0</v>
      </c>
      <c r="AT18" s="205">
        <f t="shared" si="13"/>
        <v>0</v>
      </c>
      <c r="AU18" s="205">
        <f t="shared" si="14"/>
        <v>0</v>
      </c>
      <c r="AV18" s="205">
        <f t="shared" si="15"/>
        <v>0</v>
      </c>
      <c r="AW18" s="205">
        <f t="shared" si="16"/>
        <v>0</v>
      </c>
      <c r="AX18" s="205">
        <f t="shared" si="17"/>
        <v>0</v>
      </c>
      <c r="AY18" s="205">
        <f t="shared" si="18"/>
        <v>0</v>
      </c>
      <c r="AZ18" s="205">
        <f t="shared" si="19"/>
        <v>0</v>
      </c>
      <c r="BA18" s="205">
        <f t="shared" si="20"/>
        <v>0</v>
      </c>
    </row>
    <row r="19" spans="1:53" ht="24" customHeight="1">
      <c r="A19" s="38"/>
      <c r="B19" s="38"/>
      <c r="C19" s="102"/>
      <c r="D19" s="65"/>
      <c r="E19" s="99"/>
      <c r="F19" s="114"/>
      <c r="G19" s="115"/>
      <c r="H19" s="101"/>
      <c r="I19" s="101" t="str">
        <f t="shared" si="0"/>
        <v/>
      </c>
      <c r="J19" s="65"/>
      <c r="K19" s="65"/>
      <c r="L19" s="66"/>
      <c r="M19" s="39"/>
      <c r="N19" s="39"/>
      <c r="O19" s="156"/>
      <c r="P19" s="157"/>
      <c r="Q19" s="287"/>
      <c r="R19" s="287"/>
      <c r="S19" s="287"/>
      <c r="T19" s="287"/>
      <c r="U19" s="287"/>
      <c r="V19" s="213"/>
      <c r="W19" s="213"/>
      <c r="X19" s="213"/>
      <c r="Y19" s="213"/>
      <c r="Z19" s="213"/>
      <c r="AA19" s="213"/>
      <c r="AB19" s="156"/>
      <c r="AC19" s="157"/>
      <c r="AD19" s="213"/>
      <c r="AE19" s="213"/>
      <c r="AF19" s="213"/>
      <c r="AG19" s="213"/>
      <c r="AI19" s="205">
        <f t="shared" si="2"/>
        <v>0</v>
      </c>
      <c r="AJ19" s="205">
        <f t="shared" si="3"/>
        <v>0</v>
      </c>
      <c r="AK19" s="205">
        <f t="shared" si="4"/>
        <v>0</v>
      </c>
      <c r="AL19" s="205">
        <f t="shared" si="5"/>
        <v>0</v>
      </c>
      <c r="AM19" s="205">
        <f t="shared" si="6"/>
        <v>0</v>
      </c>
      <c r="AN19" s="205">
        <f t="shared" si="7"/>
        <v>0</v>
      </c>
      <c r="AO19" s="205">
        <f t="shared" si="8"/>
        <v>0</v>
      </c>
      <c r="AP19" s="205">
        <f t="shared" si="9"/>
        <v>0</v>
      </c>
      <c r="AQ19" s="205">
        <f t="shared" si="10"/>
        <v>0</v>
      </c>
      <c r="AR19" s="205">
        <f t="shared" si="11"/>
        <v>0</v>
      </c>
      <c r="AS19" s="205">
        <f t="shared" si="12"/>
        <v>0</v>
      </c>
      <c r="AT19" s="205">
        <f t="shared" si="13"/>
        <v>0</v>
      </c>
      <c r="AU19" s="205">
        <f t="shared" si="14"/>
        <v>0</v>
      </c>
      <c r="AV19" s="205">
        <f t="shared" si="15"/>
        <v>0</v>
      </c>
      <c r="AW19" s="205">
        <f t="shared" si="16"/>
        <v>0</v>
      </c>
      <c r="AX19" s="205">
        <f t="shared" si="17"/>
        <v>0</v>
      </c>
      <c r="AY19" s="205">
        <f t="shared" si="18"/>
        <v>0</v>
      </c>
      <c r="AZ19" s="205">
        <f t="shared" si="19"/>
        <v>0</v>
      </c>
      <c r="BA19" s="205">
        <f t="shared" si="20"/>
        <v>0</v>
      </c>
    </row>
    <row r="20" spans="1:53" ht="24" customHeight="1">
      <c r="A20" s="38"/>
      <c r="B20" s="38"/>
      <c r="C20" s="102"/>
      <c r="D20" s="65"/>
      <c r="E20" s="99"/>
      <c r="F20" s="114"/>
      <c r="G20" s="115"/>
      <c r="H20" s="101"/>
      <c r="I20" s="101" t="str">
        <f t="shared" si="0"/>
        <v/>
      </c>
      <c r="J20" s="192"/>
      <c r="K20" s="65"/>
      <c r="L20" s="66"/>
      <c r="M20" s="39"/>
      <c r="N20" s="39"/>
      <c r="O20" s="156"/>
      <c r="P20" s="157"/>
      <c r="Q20" s="287"/>
      <c r="R20" s="287"/>
      <c r="S20" s="287"/>
      <c r="T20" s="287"/>
      <c r="U20" s="287"/>
      <c r="V20" s="213"/>
      <c r="W20" s="213"/>
      <c r="X20" s="213"/>
      <c r="Y20" s="213"/>
      <c r="Z20" s="213"/>
      <c r="AA20" s="213"/>
      <c r="AB20" s="156"/>
      <c r="AC20" s="157"/>
      <c r="AD20" s="213"/>
      <c r="AE20" s="213"/>
      <c r="AF20" s="213"/>
      <c r="AG20" s="213"/>
      <c r="AI20" s="205">
        <f t="shared" si="2"/>
        <v>0</v>
      </c>
      <c r="AJ20" s="205">
        <f t="shared" si="3"/>
        <v>0</v>
      </c>
      <c r="AK20" s="205">
        <f t="shared" si="4"/>
        <v>0</v>
      </c>
      <c r="AL20" s="205">
        <f t="shared" si="5"/>
        <v>0</v>
      </c>
      <c r="AM20" s="205">
        <f t="shared" si="6"/>
        <v>0</v>
      </c>
      <c r="AN20" s="205">
        <f t="shared" si="7"/>
        <v>0</v>
      </c>
      <c r="AO20" s="205">
        <f t="shared" si="8"/>
        <v>0</v>
      </c>
      <c r="AP20" s="205">
        <f t="shared" si="9"/>
        <v>0</v>
      </c>
      <c r="AQ20" s="205">
        <f t="shared" si="10"/>
        <v>0</v>
      </c>
      <c r="AR20" s="205">
        <f t="shared" si="11"/>
        <v>0</v>
      </c>
      <c r="AS20" s="205">
        <f t="shared" si="12"/>
        <v>0</v>
      </c>
      <c r="AT20" s="205">
        <f t="shared" si="13"/>
        <v>0</v>
      </c>
      <c r="AU20" s="205">
        <f t="shared" si="14"/>
        <v>0</v>
      </c>
      <c r="AV20" s="205">
        <f t="shared" si="15"/>
        <v>0</v>
      </c>
      <c r="AW20" s="205">
        <f t="shared" si="16"/>
        <v>0</v>
      </c>
      <c r="AX20" s="205">
        <f t="shared" si="17"/>
        <v>0</v>
      </c>
      <c r="AY20" s="205">
        <f t="shared" si="18"/>
        <v>0</v>
      </c>
      <c r="AZ20" s="205">
        <f t="shared" si="19"/>
        <v>0</v>
      </c>
      <c r="BA20" s="205">
        <f t="shared" si="20"/>
        <v>0</v>
      </c>
    </row>
    <row r="21" spans="1:53" ht="24" customHeight="1">
      <c r="A21" s="38"/>
      <c r="B21" s="38"/>
      <c r="C21" s="102"/>
      <c r="D21" s="65"/>
      <c r="E21" s="99"/>
      <c r="F21" s="114"/>
      <c r="G21" s="115"/>
      <c r="H21" s="101"/>
      <c r="I21" s="101" t="str">
        <f t="shared" si="0"/>
        <v/>
      </c>
      <c r="J21" s="65"/>
      <c r="K21" s="65"/>
      <c r="L21" s="66"/>
      <c r="M21" s="39"/>
      <c r="N21" s="39"/>
      <c r="O21" s="156"/>
      <c r="P21" s="157"/>
      <c r="Q21" s="287"/>
      <c r="R21" s="287"/>
      <c r="S21" s="287"/>
      <c r="T21" s="287"/>
      <c r="U21" s="287"/>
      <c r="V21" s="213"/>
      <c r="W21" s="213"/>
      <c r="X21" s="213"/>
      <c r="Y21" s="213"/>
      <c r="Z21" s="213"/>
      <c r="AA21" s="213"/>
      <c r="AB21" s="156"/>
      <c r="AC21" s="157"/>
      <c r="AD21" s="213"/>
      <c r="AE21" s="213"/>
      <c r="AF21" s="213"/>
      <c r="AG21" s="213"/>
      <c r="AI21" s="205">
        <f t="shared" si="2"/>
        <v>0</v>
      </c>
      <c r="AJ21" s="205">
        <f t="shared" si="3"/>
        <v>0</v>
      </c>
      <c r="AK21" s="205">
        <f t="shared" si="4"/>
        <v>0</v>
      </c>
      <c r="AL21" s="205">
        <f t="shared" si="5"/>
        <v>0</v>
      </c>
      <c r="AM21" s="205">
        <f t="shared" si="6"/>
        <v>0</v>
      </c>
      <c r="AN21" s="205">
        <f t="shared" si="7"/>
        <v>0</v>
      </c>
      <c r="AO21" s="205">
        <f t="shared" si="8"/>
        <v>0</v>
      </c>
      <c r="AP21" s="205">
        <f t="shared" si="9"/>
        <v>0</v>
      </c>
      <c r="AQ21" s="205">
        <f t="shared" si="10"/>
        <v>0</v>
      </c>
      <c r="AR21" s="205">
        <f t="shared" si="11"/>
        <v>0</v>
      </c>
      <c r="AS21" s="205">
        <f t="shared" si="12"/>
        <v>0</v>
      </c>
      <c r="AT21" s="205">
        <f t="shared" si="13"/>
        <v>0</v>
      </c>
      <c r="AU21" s="205">
        <f t="shared" si="14"/>
        <v>0</v>
      </c>
      <c r="AV21" s="205">
        <f t="shared" si="15"/>
        <v>0</v>
      </c>
      <c r="AW21" s="205">
        <f t="shared" si="16"/>
        <v>0</v>
      </c>
      <c r="AX21" s="205">
        <f t="shared" si="17"/>
        <v>0</v>
      </c>
      <c r="AY21" s="205">
        <f t="shared" si="18"/>
        <v>0</v>
      </c>
      <c r="AZ21" s="205">
        <f t="shared" si="19"/>
        <v>0</v>
      </c>
      <c r="BA21" s="205">
        <f t="shared" si="20"/>
        <v>0</v>
      </c>
    </row>
    <row r="22" spans="1:53" ht="24" customHeight="1">
      <c r="A22" s="38"/>
      <c r="B22" s="38"/>
      <c r="C22" s="102"/>
      <c r="D22" s="65"/>
      <c r="E22" s="99"/>
      <c r="F22" s="114"/>
      <c r="G22" s="115"/>
      <c r="H22" s="101"/>
      <c r="I22" s="101" t="str">
        <f t="shared" si="0"/>
        <v/>
      </c>
      <c r="J22" s="65"/>
      <c r="K22" s="65"/>
      <c r="L22" s="66"/>
      <c r="M22" s="39"/>
      <c r="N22" s="39"/>
      <c r="O22" s="156"/>
      <c r="P22" s="157"/>
      <c r="Q22" s="287"/>
      <c r="R22" s="287"/>
      <c r="S22" s="287"/>
      <c r="T22" s="287"/>
      <c r="U22" s="287"/>
      <c r="V22" s="213"/>
      <c r="W22" s="213"/>
      <c r="X22" s="213"/>
      <c r="Y22" s="213"/>
      <c r="Z22" s="213"/>
      <c r="AA22" s="213"/>
      <c r="AB22" s="156"/>
      <c r="AC22" s="157"/>
      <c r="AD22" s="213"/>
      <c r="AE22" s="213"/>
      <c r="AF22" s="213"/>
      <c r="AG22" s="213"/>
      <c r="AI22" s="205">
        <f t="shared" si="2"/>
        <v>0</v>
      </c>
      <c r="AJ22" s="205">
        <f t="shared" si="3"/>
        <v>0</v>
      </c>
      <c r="AK22" s="205">
        <f t="shared" si="4"/>
        <v>0</v>
      </c>
      <c r="AL22" s="205">
        <f t="shared" si="5"/>
        <v>0</v>
      </c>
      <c r="AM22" s="205">
        <f t="shared" si="6"/>
        <v>0</v>
      </c>
      <c r="AN22" s="205">
        <f t="shared" si="7"/>
        <v>0</v>
      </c>
      <c r="AO22" s="205">
        <f t="shared" si="8"/>
        <v>0</v>
      </c>
      <c r="AP22" s="205">
        <f t="shared" si="9"/>
        <v>0</v>
      </c>
      <c r="AQ22" s="205">
        <f t="shared" si="10"/>
        <v>0</v>
      </c>
      <c r="AR22" s="205">
        <f t="shared" si="11"/>
        <v>0</v>
      </c>
      <c r="AS22" s="205">
        <f t="shared" si="12"/>
        <v>0</v>
      </c>
      <c r="AT22" s="205">
        <f t="shared" si="13"/>
        <v>0</v>
      </c>
      <c r="AU22" s="205">
        <f t="shared" si="14"/>
        <v>0</v>
      </c>
      <c r="AV22" s="205">
        <f t="shared" si="15"/>
        <v>0</v>
      </c>
      <c r="AW22" s="205">
        <f t="shared" si="16"/>
        <v>0</v>
      </c>
      <c r="AX22" s="205">
        <f t="shared" si="17"/>
        <v>0</v>
      </c>
      <c r="AY22" s="205">
        <f t="shared" si="18"/>
        <v>0</v>
      </c>
      <c r="AZ22" s="205">
        <f t="shared" si="19"/>
        <v>0</v>
      </c>
      <c r="BA22" s="205">
        <f t="shared" si="20"/>
        <v>0</v>
      </c>
    </row>
    <row r="23" spans="1:53" s="39" customFormat="1" ht="24" customHeight="1">
      <c r="A23" s="38"/>
      <c r="B23" s="38"/>
      <c r="C23" s="102"/>
      <c r="D23" s="65"/>
      <c r="E23" s="99"/>
      <c r="F23" s="114"/>
      <c r="G23" s="115"/>
      <c r="H23" s="101"/>
      <c r="I23" s="101" t="str">
        <f t="shared" si="0"/>
        <v/>
      </c>
      <c r="J23" s="65"/>
      <c r="K23" s="65"/>
      <c r="L23" s="66"/>
      <c r="O23" s="156"/>
      <c r="P23" s="157"/>
      <c r="Q23" s="287"/>
      <c r="R23" s="287"/>
      <c r="S23" s="287"/>
      <c r="T23" s="287"/>
      <c r="U23" s="287"/>
      <c r="V23" s="213"/>
      <c r="W23" s="213"/>
      <c r="X23" s="213"/>
      <c r="Y23" s="213"/>
      <c r="Z23" s="213"/>
      <c r="AA23" s="213"/>
      <c r="AB23" s="156"/>
      <c r="AC23" s="157"/>
      <c r="AD23" s="213"/>
      <c r="AE23" s="213"/>
      <c r="AF23" s="213"/>
      <c r="AG23" s="213"/>
      <c r="AI23" s="205">
        <f t="shared" si="2"/>
        <v>0</v>
      </c>
      <c r="AJ23" s="205">
        <f t="shared" si="3"/>
        <v>0</v>
      </c>
      <c r="AK23" s="205">
        <f t="shared" si="4"/>
        <v>0</v>
      </c>
      <c r="AL23" s="205">
        <f t="shared" si="5"/>
        <v>0</v>
      </c>
      <c r="AM23" s="205">
        <f t="shared" si="6"/>
        <v>0</v>
      </c>
      <c r="AN23" s="205">
        <f t="shared" si="7"/>
        <v>0</v>
      </c>
      <c r="AO23" s="205">
        <f t="shared" si="8"/>
        <v>0</v>
      </c>
      <c r="AP23" s="205">
        <f t="shared" si="9"/>
        <v>0</v>
      </c>
      <c r="AQ23" s="205">
        <f t="shared" si="10"/>
        <v>0</v>
      </c>
      <c r="AR23" s="205">
        <f t="shared" si="11"/>
        <v>0</v>
      </c>
      <c r="AS23" s="205">
        <f t="shared" si="12"/>
        <v>0</v>
      </c>
      <c r="AT23" s="205">
        <f t="shared" si="13"/>
        <v>0</v>
      </c>
      <c r="AU23" s="205">
        <f t="shared" si="14"/>
        <v>0</v>
      </c>
      <c r="AV23" s="205">
        <f t="shared" si="15"/>
        <v>0</v>
      </c>
      <c r="AW23" s="205">
        <f t="shared" si="16"/>
        <v>0</v>
      </c>
      <c r="AX23" s="205">
        <f t="shared" si="17"/>
        <v>0</v>
      </c>
      <c r="AY23" s="205">
        <f t="shared" si="18"/>
        <v>0</v>
      </c>
      <c r="AZ23" s="205">
        <f t="shared" si="19"/>
        <v>0</v>
      </c>
      <c r="BA23" s="205">
        <f t="shared" si="20"/>
        <v>0</v>
      </c>
    </row>
    <row r="24" spans="1:53" ht="24" customHeight="1" thickBot="1">
      <c r="A24" s="38"/>
      <c r="B24" s="38"/>
      <c r="C24" s="103"/>
      <c r="D24" s="92" t="s">
        <v>8</v>
      </c>
      <c r="E24" s="104"/>
      <c r="F24" s="117"/>
      <c r="G24" s="118"/>
      <c r="H24" s="127" t="s">
        <v>88</v>
      </c>
      <c r="I24" s="207">
        <f>SUM(I6:I23)</f>
        <v>0</v>
      </c>
      <c r="J24" s="92" t="s">
        <v>89</v>
      </c>
      <c r="K24" s="92"/>
      <c r="L24" s="119"/>
      <c r="O24" s="288">
        <f>AI24</f>
        <v>0</v>
      </c>
      <c r="P24" s="289">
        <f t="shared" ref="P24:AG24" si="21">AJ24</f>
        <v>0</v>
      </c>
      <c r="Q24" s="290">
        <f t="shared" si="21"/>
        <v>0</v>
      </c>
      <c r="R24" s="290">
        <f t="shared" si="21"/>
        <v>0</v>
      </c>
      <c r="S24" s="290">
        <f t="shared" si="21"/>
        <v>0</v>
      </c>
      <c r="T24" s="290">
        <f t="shared" si="21"/>
        <v>0</v>
      </c>
      <c r="U24" s="290">
        <f t="shared" si="21"/>
        <v>0</v>
      </c>
      <c r="V24" s="291">
        <f t="shared" si="21"/>
        <v>0</v>
      </c>
      <c r="W24" s="291">
        <f t="shared" si="21"/>
        <v>0</v>
      </c>
      <c r="X24" s="291">
        <f t="shared" si="21"/>
        <v>0</v>
      </c>
      <c r="Y24" s="291">
        <f t="shared" si="21"/>
        <v>0</v>
      </c>
      <c r="Z24" s="291">
        <f t="shared" si="21"/>
        <v>0</v>
      </c>
      <c r="AA24" s="291">
        <f t="shared" si="21"/>
        <v>0</v>
      </c>
      <c r="AB24" s="288">
        <f t="shared" si="21"/>
        <v>0</v>
      </c>
      <c r="AC24" s="289">
        <f t="shared" si="21"/>
        <v>0</v>
      </c>
      <c r="AD24" s="291">
        <f t="shared" si="21"/>
        <v>0</v>
      </c>
      <c r="AE24" s="291">
        <f t="shared" si="21"/>
        <v>0</v>
      </c>
      <c r="AF24" s="291">
        <f>AZ24</f>
        <v>0</v>
      </c>
      <c r="AG24" s="291">
        <f t="shared" si="21"/>
        <v>0</v>
      </c>
      <c r="AI24" s="206">
        <f>SUM(AI6:AI23)</f>
        <v>0</v>
      </c>
      <c r="AJ24" s="206">
        <f t="shared" ref="AJ24:AS24" si="22">SUM(AJ6:AJ23)</f>
        <v>0</v>
      </c>
      <c r="AK24" s="206">
        <f t="shared" si="22"/>
        <v>0</v>
      </c>
      <c r="AL24" s="206">
        <f t="shared" si="22"/>
        <v>0</v>
      </c>
      <c r="AM24" s="206">
        <f>SUM(AM6:AM23)</f>
        <v>0</v>
      </c>
      <c r="AN24" s="206">
        <f>SUM(AN6:AN23)</f>
        <v>0</v>
      </c>
      <c r="AO24" s="206">
        <f t="shared" si="22"/>
        <v>0</v>
      </c>
      <c r="AP24" s="206">
        <f t="shared" si="22"/>
        <v>0</v>
      </c>
      <c r="AQ24" s="206">
        <f t="shared" si="22"/>
        <v>0</v>
      </c>
      <c r="AR24" s="206">
        <f t="shared" si="22"/>
        <v>0</v>
      </c>
      <c r="AS24" s="206">
        <f t="shared" si="22"/>
        <v>0</v>
      </c>
      <c r="AT24" s="206">
        <f>SUM(AT6:AT23)</f>
        <v>0</v>
      </c>
      <c r="AU24" s="206">
        <f t="shared" ref="AU24:BA24" si="23">SUM(AU6:AU23)</f>
        <v>0</v>
      </c>
      <c r="AV24" s="206">
        <f t="shared" si="23"/>
        <v>0</v>
      </c>
      <c r="AW24" s="206">
        <f t="shared" si="23"/>
        <v>0</v>
      </c>
      <c r="AX24" s="206">
        <f t="shared" si="23"/>
        <v>0</v>
      </c>
      <c r="AY24" s="206">
        <f t="shared" si="23"/>
        <v>0</v>
      </c>
      <c r="AZ24" s="206">
        <f t="shared" si="23"/>
        <v>0</v>
      </c>
      <c r="BA24" s="206">
        <f t="shared" si="23"/>
        <v>0</v>
      </c>
    </row>
    <row r="25" spans="1:53" ht="14.25" customHeight="1">
      <c r="E25" s="120" t="s">
        <v>150</v>
      </c>
      <c r="F25" s="121">
        <f>+F2+1</f>
        <v>1</v>
      </c>
      <c r="G25" s="122" t="s">
        <v>151</v>
      </c>
      <c r="H25" s="123">
        <f>+J2</f>
        <v>2</v>
      </c>
      <c r="M25" s="33" t="str">
        <f>IF(A27="","EOL","")</f>
        <v/>
      </c>
      <c r="N25" s="1">
        <f>+F25</f>
        <v>1</v>
      </c>
    </row>
    <row r="26" spans="1:53" ht="26.25" customHeight="1" thickBot="1">
      <c r="C26" s="2822" t="s">
        <v>319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30"/>
    </row>
    <row r="27" spans="1:53" ht="41.25" customHeight="1">
      <c r="A27" s="5" t="s">
        <v>12</v>
      </c>
      <c r="B27" s="5" t="s">
        <v>44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5" t="s">
        <v>6</v>
      </c>
      <c r="K27" s="2826"/>
      <c r="L27" s="2827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53" ht="24" customHeight="1">
      <c r="A28" s="236">
        <v>1</v>
      </c>
      <c r="B28" s="236">
        <v>1</v>
      </c>
      <c r="C28" s="128" t="s">
        <v>153</v>
      </c>
      <c r="D28" s="209" t="s">
        <v>152</v>
      </c>
      <c r="E28" s="210" t="s">
        <v>158</v>
      </c>
      <c r="F28" s="211">
        <v>1</v>
      </c>
      <c r="G28" s="212" t="s">
        <v>113</v>
      </c>
      <c r="H28" s="90" t="s">
        <v>11</v>
      </c>
      <c r="I28" s="90" t="s">
        <v>11</v>
      </c>
      <c r="J28" s="2819"/>
      <c r="K28" s="2820"/>
      <c r="L28" s="2821"/>
      <c r="O28" s="156"/>
      <c r="P28" s="157"/>
      <c r="Q28" s="287"/>
      <c r="R28" s="287"/>
      <c r="S28" s="287"/>
      <c r="T28" s="287"/>
      <c r="U28" s="287"/>
      <c r="V28" s="213"/>
      <c r="W28" s="213"/>
      <c r="X28" s="213"/>
      <c r="Y28" s="213"/>
      <c r="Z28" s="213"/>
      <c r="AA28" s="213"/>
      <c r="AB28" s="156"/>
      <c r="AC28" s="157"/>
      <c r="AD28" s="213"/>
      <c r="AE28" s="213"/>
      <c r="AF28" s="213"/>
      <c r="AG28" s="213"/>
    </row>
    <row r="29" spans="1:53" s="39" customFormat="1" ht="24" customHeight="1">
      <c r="A29" s="38"/>
      <c r="B29" s="38"/>
      <c r="C29" s="124"/>
      <c r="D29" s="125"/>
      <c r="E29" s="114"/>
      <c r="F29" s="114"/>
      <c r="G29" s="115"/>
      <c r="H29" s="131"/>
      <c r="I29" s="101" t="str">
        <f t="shared" ref="I29:I40" si="24">IF(F29="","",ROUNDDOWN(F29*H29,0))</f>
        <v/>
      </c>
      <c r="J29" s="64"/>
      <c r="K29" s="65"/>
      <c r="L29" s="66"/>
      <c r="O29" s="156"/>
      <c r="P29" s="157"/>
      <c r="Q29" s="287"/>
      <c r="R29" s="287"/>
      <c r="S29" s="287"/>
      <c r="T29" s="287"/>
      <c r="U29" s="287"/>
      <c r="V29" s="213"/>
      <c r="W29" s="213"/>
      <c r="X29" s="213"/>
      <c r="Y29" s="213"/>
      <c r="Z29" s="213"/>
      <c r="AA29" s="213"/>
      <c r="AB29" s="156"/>
      <c r="AC29" s="157"/>
      <c r="AD29" s="213"/>
      <c r="AE29" s="213"/>
      <c r="AF29" s="213"/>
      <c r="AG29" s="213"/>
      <c r="AI29" s="205">
        <f>$F29*O29</f>
        <v>0</v>
      </c>
      <c r="AJ29" s="205">
        <f t="shared" ref="AJ29:AJ46" si="25">$F29*P29</f>
        <v>0</v>
      </c>
      <c r="AK29" s="205">
        <f t="shared" ref="AK29:AK46" si="26">$F29*Q29</f>
        <v>0</v>
      </c>
      <c r="AL29" s="205">
        <f t="shared" ref="AL29:AL46" si="27">$F29*R29</f>
        <v>0</v>
      </c>
      <c r="AM29" s="205">
        <f t="shared" ref="AM29:AM46" si="28">$F29*S29</f>
        <v>0</v>
      </c>
      <c r="AN29" s="205">
        <f t="shared" ref="AN29:AN46" si="29">$F29*T29</f>
        <v>0</v>
      </c>
      <c r="AO29" s="205">
        <f t="shared" ref="AO29:AO46" si="30">$F29*U29</f>
        <v>0</v>
      </c>
      <c r="AP29" s="205">
        <f t="shared" ref="AP29:AP46" si="31">$F29*V29</f>
        <v>0</v>
      </c>
      <c r="AQ29" s="205">
        <f t="shared" ref="AQ29:AQ46" si="32">$F29*W29</f>
        <v>0</v>
      </c>
      <c r="AR29" s="205">
        <f t="shared" ref="AR29:AR46" si="33">$F29*X29</f>
        <v>0</v>
      </c>
      <c r="AS29" s="205">
        <f t="shared" ref="AS29:AS46" si="34">$F29*Y29</f>
        <v>0</v>
      </c>
      <c r="AT29" s="205">
        <f t="shared" ref="AT29:AT46" si="35">$F29*Z29</f>
        <v>0</v>
      </c>
      <c r="AU29" s="205">
        <f t="shared" ref="AU29:AU46" si="36">$F29*AA29</f>
        <v>0</v>
      </c>
      <c r="AV29" s="205">
        <f t="shared" ref="AV29:AV46" si="37">$F29*AB29</f>
        <v>0</v>
      </c>
      <c r="AW29" s="205">
        <f t="shared" ref="AW29:AW46" si="38">$F29*AC29</f>
        <v>0</v>
      </c>
      <c r="AX29" s="205">
        <f t="shared" ref="AX29:AX46" si="39">$F29*AD29</f>
        <v>0</v>
      </c>
      <c r="AY29" s="205">
        <f t="shared" ref="AY29:AY46" si="40">$F29*AE29</f>
        <v>0</v>
      </c>
      <c r="AZ29" s="205">
        <f t="shared" ref="AZ29:AZ46" si="41">$F29*AF29</f>
        <v>0</v>
      </c>
      <c r="BA29" s="205">
        <f t="shared" ref="BA29:BA46" si="42">$F29*AG29</f>
        <v>0</v>
      </c>
    </row>
    <row r="30" spans="1:53" ht="24" customHeight="1">
      <c r="A30" s="38">
        <v>1</v>
      </c>
      <c r="B30" s="38">
        <v>1</v>
      </c>
      <c r="C30" s="102">
        <v>300901</v>
      </c>
      <c r="D30" s="65" t="s">
        <v>155</v>
      </c>
      <c r="E30" s="99" t="s">
        <v>156</v>
      </c>
      <c r="F30" s="114">
        <v>0.4</v>
      </c>
      <c r="G30" s="115" t="s">
        <v>60</v>
      </c>
      <c r="H30" s="101"/>
      <c r="I30" s="101">
        <f t="shared" si="24"/>
        <v>0</v>
      </c>
      <c r="J30" s="65" t="s">
        <v>157</v>
      </c>
      <c r="K30" s="65"/>
      <c r="L30" s="66"/>
      <c r="M30" s="39"/>
      <c r="N30" s="39"/>
      <c r="O30" s="156">
        <v>0</v>
      </c>
      <c r="P30" s="157"/>
      <c r="Q30" s="287"/>
      <c r="R30" s="287"/>
      <c r="S30" s="287"/>
      <c r="T30" s="287"/>
      <c r="U30" s="287"/>
      <c r="V30" s="213"/>
      <c r="W30" s="213"/>
      <c r="X30" s="213"/>
      <c r="Y30" s="213"/>
      <c r="Z30" s="213"/>
      <c r="AA30" s="213"/>
      <c r="AB30" s="156"/>
      <c r="AC30" s="157"/>
      <c r="AD30" s="213"/>
      <c r="AE30" s="213"/>
      <c r="AF30" s="213"/>
      <c r="AG30" s="213"/>
      <c r="AI30" s="205">
        <f t="shared" ref="AI30:AI46" si="43">$F30*O30</f>
        <v>0</v>
      </c>
      <c r="AJ30" s="205">
        <f t="shared" si="25"/>
        <v>0</v>
      </c>
      <c r="AK30" s="205">
        <f t="shared" si="26"/>
        <v>0</v>
      </c>
      <c r="AL30" s="205">
        <f t="shared" si="27"/>
        <v>0</v>
      </c>
      <c r="AM30" s="205">
        <f t="shared" si="28"/>
        <v>0</v>
      </c>
      <c r="AN30" s="205">
        <f t="shared" si="29"/>
        <v>0</v>
      </c>
      <c r="AO30" s="205">
        <f t="shared" si="30"/>
        <v>0</v>
      </c>
      <c r="AP30" s="205">
        <f t="shared" si="31"/>
        <v>0</v>
      </c>
      <c r="AQ30" s="205">
        <f t="shared" si="32"/>
        <v>0</v>
      </c>
      <c r="AR30" s="205">
        <f t="shared" si="33"/>
        <v>0</v>
      </c>
      <c r="AS30" s="205">
        <f t="shared" si="34"/>
        <v>0</v>
      </c>
      <c r="AT30" s="205">
        <f t="shared" si="35"/>
        <v>0</v>
      </c>
      <c r="AU30" s="205">
        <f t="shared" si="36"/>
        <v>0</v>
      </c>
      <c r="AV30" s="205">
        <f t="shared" si="37"/>
        <v>0</v>
      </c>
      <c r="AW30" s="205">
        <f t="shared" si="38"/>
        <v>0</v>
      </c>
      <c r="AX30" s="205">
        <f t="shared" si="39"/>
        <v>0</v>
      </c>
      <c r="AY30" s="205">
        <f t="shared" si="40"/>
        <v>0</v>
      </c>
      <c r="AZ30" s="205">
        <f t="shared" si="41"/>
        <v>0</v>
      </c>
      <c r="BA30" s="205">
        <f t="shared" si="42"/>
        <v>0</v>
      </c>
    </row>
    <row r="31" spans="1:53" ht="24" customHeight="1">
      <c r="A31" s="38">
        <v>1</v>
      </c>
      <c r="B31" s="38">
        <v>1</v>
      </c>
      <c r="C31" s="102">
        <v>3011</v>
      </c>
      <c r="D31" s="65" t="s">
        <v>159</v>
      </c>
      <c r="E31" s="99" t="s">
        <v>160</v>
      </c>
      <c r="F31" s="114">
        <v>0.1</v>
      </c>
      <c r="G31" s="115" t="s">
        <v>60</v>
      </c>
      <c r="H31" s="101"/>
      <c r="I31" s="101">
        <f t="shared" si="24"/>
        <v>0</v>
      </c>
      <c r="J31" s="65" t="s">
        <v>161</v>
      </c>
      <c r="K31" s="65"/>
      <c r="L31" s="66"/>
      <c r="M31" s="39"/>
      <c r="N31" s="39"/>
      <c r="O31" s="156">
        <v>0</v>
      </c>
      <c r="P31" s="157"/>
      <c r="Q31" s="287"/>
      <c r="R31" s="287"/>
      <c r="S31" s="287"/>
      <c r="T31" s="287"/>
      <c r="U31" s="287"/>
      <c r="V31" s="213"/>
      <c r="W31" s="213"/>
      <c r="X31" s="213"/>
      <c r="Y31" s="213"/>
      <c r="Z31" s="213"/>
      <c r="AA31" s="213"/>
      <c r="AB31" s="156"/>
      <c r="AC31" s="157"/>
      <c r="AD31" s="213"/>
      <c r="AE31" s="213"/>
      <c r="AF31" s="213"/>
      <c r="AG31" s="213"/>
      <c r="AI31" s="205">
        <f t="shared" si="43"/>
        <v>0</v>
      </c>
      <c r="AJ31" s="205">
        <f t="shared" si="25"/>
        <v>0</v>
      </c>
      <c r="AK31" s="205">
        <f t="shared" si="26"/>
        <v>0</v>
      </c>
      <c r="AL31" s="205">
        <f t="shared" si="27"/>
        <v>0</v>
      </c>
      <c r="AM31" s="205">
        <f t="shared" si="28"/>
        <v>0</v>
      </c>
      <c r="AN31" s="205">
        <f t="shared" si="29"/>
        <v>0</v>
      </c>
      <c r="AO31" s="205">
        <f t="shared" si="30"/>
        <v>0</v>
      </c>
      <c r="AP31" s="205">
        <f t="shared" si="31"/>
        <v>0</v>
      </c>
      <c r="AQ31" s="205">
        <f t="shared" si="32"/>
        <v>0</v>
      </c>
      <c r="AR31" s="205">
        <f t="shared" si="33"/>
        <v>0</v>
      </c>
      <c r="AS31" s="205">
        <f t="shared" si="34"/>
        <v>0</v>
      </c>
      <c r="AT31" s="205">
        <f t="shared" si="35"/>
        <v>0</v>
      </c>
      <c r="AU31" s="205">
        <f t="shared" si="36"/>
        <v>0</v>
      </c>
      <c r="AV31" s="205">
        <f t="shared" si="37"/>
        <v>0</v>
      </c>
      <c r="AW31" s="205">
        <f t="shared" si="38"/>
        <v>0</v>
      </c>
      <c r="AX31" s="205">
        <f t="shared" si="39"/>
        <v>0</v>
      </c>
      <c r="AY31" s="205">
        <f t="shared" si="40"/>
        <v>0</v>
      </c>
      <c r="AZ31" s="205">
        <f t="shared" si="41"/>
        <v>0</v>
      </c>
      <c r="BA31" s="205">
        <f t="shared" si="42"/>
        <v>0</v>
      </c>
    </row>
    <row r="32" spans="1:53" ht="24" customHeight="1">
      <c r="A32" s="38">
        <v>1</v>
      </c>
      <c r="B32" s="38">
        <v>1</v>
      </c>
      <c r="C32" s="102">
        <v>301004</v>
      </c>
      <c r="D32" s="65" t="s">
        <v>162</v>
      </c>
      <c r="E32" s="99" t="s">
        <v>163</v>
      </c>
      <c r="F32" s="114">
        <v>0.3</v>
      </c>
      <c r="G32" s="115" t="s">
        <v>60</v>
      </c>
      <c r="H32" s="101"/>
      <c r="I32" s="101">
        <f t="shared" si="24"/>
        <v>0</v>
      </c>
      <c r="J32" s="65"/>
      <c r="K32" s="65"/>
      <c r="L32" s="66"/>
      <c r="M32" s="39"/>
      <c r="N32" s="39"/>
      <c r="O32" s="156">
        <v>0</v>
      </c>
      <c r="P32" s="157"/>
      <c r="Q32" s="287"/>
      <c r="R32" s="287"/>
      <c r="S32" s="287"/>
      <c r="T32" s="287"/>
      <c r="U32" s="287"/>
      <c r="V32" s="213"/>
      <c r="W32" s="213"/>
      <c r="X32" s="213"/>
      <c r="Y32" s="213"/>
      <c r="Z32" s="213"/>
      <c r="AA32" s="213"/>
      <c r="AB32" s="156"/>
      <c r="AC32" s="157"/>
      <c r="AD32" s="213"/>
      <c r="AE32" s="213"/>
      <c r="AF32" s="213"/>
      <c r="AG32" s="213"/>
      <c r="AI32" s="205">
        <f t="shared" si="43"/>
        <v>0</v>
      </c>
      <c r="AJ32" s="205">
        <f t="shared" si="25"/>
        <v>0</v>
      </c>
      <c r="AK32" s="205">
        <f t="shared" si="26"/>
        <v>0</v>
      </c>
      <c r="AL32" s="205">
        <f t="shared" si="27"/>
        <v>0</v>
      </c>
      <c r="AM32" s="205">
        <f t="shared" si="28"/>
        <v>0</v>
      </c>
      <c r="AN32" s="205">
        <f t="shared" si="29"/>
        <v>0</v>
      </c>
      <c r="AO32" s="205">
        <f t="shared" si="30"/>
        <v>0</v>
      </c>
      <c r="AP32" s="205">
        <f t="shared" si="31"/>
        <v>0</v>
      </c>
      <c r="AQ32" s="205">
        <f t="shared" si="32"/>
        <v>0</v>
      </c>
      <c r="AR32" s="205">
        <f t="shared" si="33"/>
        <v>0</v>
      </c>
      <c r="AS32" s="205">
        <f t="shared" si="34"/>
        <v>0</v>
      </c>
      <c r="AT32" s="205">
        <f t="shared" si="35"/>
        <v>0</v>
      </c>
      <c r="AU32" s="205">
        <f t="shared" si="36"/>
        <v>0</v>
      </c>
      <c r="AV32" s="205">
        <f t="shared" si="37"/>
        <v>0</v>
      </c>
      <c r="AW32" s="205">
        <f t="shared" si="38"/>
        <v>0</v>
      </c>
      <c r="AX32" s="205">
        <f t="shared" si="39"/>
        <v>0</v>
      </c>
      <c r="AY32" s="205">
        <f t="shared" si="40"/>
        <v>0</v>
      </c>
      <c r="AZ32" s="205">
        <f t="shared" si="41"/>
        <v>0</v>
      </c>
      <c r="BA32" s="205">
        <f t="shared" si="42"/>
        <v>0</v>
      </c>
    </row>
    <row r="33" spans="1:53" ht="24" customHeight="1">
      <c r="A33" s="38">
        <v>1</v>
      </c>
      <c r="B33" s="38">
        <v>1</v>
      </c>
      <c r="C33" s="102">
        <v>3045</v>
      </c>
      <c r="D33" s="65" t="s">
        <v>164</v>
      </c>
      <c r="E33" s="99" t="s">
        <v>165</v>
      </c>
      <c r="F33" s="114">
        <v>0.3</v>
      </c>
      <c r="G33" s="115" t="s">
        <v>60</v>
      </c>
      <c r="H33" s="101"/>
      <c r="I33" s="101">
        <f t="shared" si="24"/>
        <v>0</v>
      </c>
      <c r="J33" s="65"/>
      <c r="K33" s="65"/>
      <c r="L33" s="66"/>
      <c r="M33" s="39"/>
      <c r="N33" s="39"/>
      <c r="O33" s="156">
        <v>0</v>
      </c>
      <c r="P33" s="157"/>
      <c r="Q33" s="287"/>
      <c r="R33" s="287"/>
      <c r="S33" s="287"/>
      <c r="T33" s="287"/>
      <c r="U33" s="287"/>
      <c r="V33" s="213"/>
      <c r="W33" s="213"/>
      <c r="X33" s="213"/>
      <c r="Y33" s="213"/>
      <c r="Z33" s="213"/>
      <c r="AA33" s="213"/>
      <c r="AB33" s="156"/>
      <c r="AC33" s="157"/>
      <c r="AD33" s="213"/>
      <c r="AE33" s="213"/>
      <c r="AF33" s="213"/>
      <c r="AG33" s="213"/>
      <c r="AI33" s="205">
        <f t="shared" si="43"/>
        <v>0</v>
      </c>
      <c r="AJ33" s="205">
        <f t="shared" si="25"/>
        <v>0</v>
      </c>
      <c r="AK33" s="205">
        <f t="shared" si="26"/>
        <v>0</v>
      </c>
      <c r="AL33" s="205">
        <f t="shared" si="27"/>
        <v>0</v>
      </c>
      <c r="AM33" s="205">
        <f t="shared" si="28"/>
        <v>0</v>
      </c>
      <c r="AN33" s="205">
        <f t="shared" si="29"/>
        <v>0</v>
      </c>
      <c r="AO33" s="205">
        <f t="shared" si="30"/>
        <v>0</v>
      </c>
      <c r="AP33" s="205">
        <f t="shared" si="31"/>
        <v>0</v>
      </c>
      <c r="AQ33" s="205">
        <f t="shared" si="32"/>
        <v>0</v>
      </c>
      <c r="AR33" s="205">
        <f t="shared" si="33"/>
        <v>0</v>
      </c>
      <c r="AS33" s="205">
        <f t="shared" si="34"/>
        <v>0</v>
      </c>
      <c r="AT33" s="205">
        <f t="shared" si="35"/>
        <v>0</v>
      </c>
      <c r="AU33" s="205">
        <f t="shared" si="36"/>
        <v>0</v>
      </c>
      <c r="AV33" s="205">
        <f t="shared" si="37"/>
        <v>0</v>
      </c>
      <c r="AW33" s="205">
        <f t="shared" si="38"/>
        <v>0</v>
      </c>
      <c r="AX33" s="205">
        <f t="shared" si="39"/>
        <v>0</v>
      </c>
      <c r="AY33" s="205">
        <f t="shared" si="40"/>
        <v>0</v>
      </c>
      <c r="AZ33" s="205">
        <f t="shared" si="41"/>
        <v>0</v>
      </c>
      <c r="BA33" s="205">
        <f t="shared" si="42"/>
        <v>0</v>
      </c>
    </row>
    <row r="34" spans="1:53" ht="24" customHeight="1">
      <c r="A34" s="38">
        <v>1</v>
      </c>
      <c r="B34" s="38">
        <v>1</v>
      </c>
      <c r="C34" s="102">
        <v>102</v>
      </c>
      <c r="D34" s="65" t="s">
        <v>166</v>
      </c>
      <c r="E34" s="99" t="s">
        <v>72</v>
      </c>
      <c r="F34" s="114">
        <v>0.01</v>
      </c>
      <c r="G34" s="115" t="s">
        <v>167</v>
      </c>
      <c r="H34" s="101"/>
      <c r="I34" s="101">
        <f t="shared" si="24"/>
        <v>0</v>
      </c>
      <c r="J34" s="65"/>
      <c r="K34" s="65"/>
      <c r="L34" s="66"/>
      <c r="M34" s="39"/>
      <c r="N34" s="39"/>
      <c r="O34" s="156">
        <v>1000</v>
      </c>
      <c r="P34" s="157"/>
      <c r="Q34" s="287"/>
      <c r="R34" s="287"/>
      <c r="S34" s="287"/>
      <c r="T34" s="287"/>
      <c r="U34" s="287"/>
      <c r="V34" s="213"/>
      <c r="W34" s="213"/>
      <c r="X34" s="213"/>
      <c r="Y34" s="213"/>
      <c r="Z34" s="213"/>
      <c r="AA34" s="213"/>
      <c r="AB34" s="156"/>
      <c r="AC34" s="157"/>
      <c r="AD34" s="213"/>
      <c r="AE34" s="213"/>
      <c r="AF34" s="213"/>
      <c r="AG34" s="213"/>
      <c r="AI34" s="205">
        <f t="shared" si="43"/>
        <v>10</v>
      </c>
      <c r="AJ34" s="205">
        <f t="shared" si="25"/>
        <v>0</v>
      </c>
      <c r="AK34" s="205">
        <f t="shared" si="26"/>
        <v>0</v>
      </c>
      <c r="AL34" s="205">
        <f t="shared" si="27"/>
        <v>0</v>
      </c>
      <c r="AM34" s="205">
        <f t="shared" si="28"/>
        <v>0</v>
      </c>
      <c r="AN34" s="205">
        <f t="shared" si="29"/>
        <v>0</v>
      </c>
      <c r="AO34" s="205">
        <f t="shared" si="30"/>
        <v>0</v>
      </c>
      <c r="AP34" s="205">
        <f t="shared" si="31"/>
        <v>0</v>
      </c>
      <c r="AQ34" s="205">
        <f t="shared" si="32"/>
        <v>0</v>
      </c>
      <c r="AR34" s="205">
        <f t="shared" si="33"/>
        <v>0</v>
      </c>
      <c r="AS34" s="205">
        <f t="shared" si="34"/>
        <v>0</v>
      </c>
      <c r="AT34" s="205">
        <f t="shared" si="35"/>
        <v>0</v>
      </c>
      <c r="AU34" s="205">
        <f t="shared" si="36"/>
        <v>0</v>
      </c>
      <c r="AV34" s="205">
        <f t="shared" si="37"/>
        <v>0</v>
      </c>
      <c r="AW34" s="205">
        <f t="shared" si="38"/>
        <v>0</v>
      </c>
      <c r="AX34" s="205">
        <f t="shared" si="39"/>
        <v>0</v>
      </c>
      <c r="AY34" s="205">
        <f t="shared" si="40"/>
        <v>0</v>
      </c>
      <c r="AZ34" s="205">
        <f t="shared" si="41"/>
        <v>0</v>
      </c>
      <c r="BA34" s="205">
        <f t="shared" si="42"/>
        <v>0</v>
      </c>
    </row>
    <row r="35" spans="1:53" s="39" customFormat="1" ht="24" customHeight="1">
      <c r="A35" s="38">
        <v>1</v>
      </c>
      <c r="B35" s="38">
        <v>1</v>
      </c>
      <c r="C35" s="102">
        <v>411102</v>
      </c>
      <c r="D35" s="65" t="s">
        <v>168</v>
      </c>
      <c r="E35" s="99" t="s">
        <v>169</v>
      </c>
      <c r="F35" s="114">
        <v>0.01</v>
      </c>
      <c r="G35" s="115" t="s">
        <v>167</v>
      </c>
      <c r="H35" s="101"/>
      <c r="I35" s="101">
        <f t="shared" si="24"/>
        <v>0</v>
      </c>
      <c r="J35" s="65"/>
      <c r="K35" s="65"/>
      <c r="L35" s="66"/>
      <c r="O35" s="156">
        <v>0</v>
      </c>
      <c r="P35" s="157"/>
      <c r="Q35" s="287"/>
      <c r="R35" s="287"/>
      <c r="S35" s="287"/>
      <c r="T35" s="287"/>
      <c r="U35" s="287"/>
      <c r="V35" s="213"/>
      <c r="W35" s="213"/>
      <c r="X35" s="213"/>
      <c r="Y35" s="213"/>
      <c r="Z35" s="213"/>
      <c r="AA35" s="213"/>
      <c r="AB35" s="156"/>
      <c r="AC35" s="157"/>
      <c r="AD35" s="213"/>
      <c r="AE35" s="213"/>
      <c r="AF35" s="213"/>
      <c r="AG35" s="213"/>
      <c r="AI35" s="205">
        <f t="shared" si="43"/>
        <v>0</v>
      </c>
      <c r="AJ35" s="205">
        <f t="shared" si="25"/>
        <v>0</v>
      </c>
      <c r="AK35" s="205">
        <f t="shared" si="26"/>
        <v>0</v>
      </c>
      <c r="AL35" s="205">
        <f t="shared" si="27"/>
        <v>0</v>
      </c>
      <c r="AM35" s="205">
        <f t="shared" si="28"/>
        <v>0</v>
      </c>
      <c r="AN35" s="205">
        <f t="shared" si="29"/>
        <v>0</v>
      </c>
      <c r="AO35" s="205">
        <f t="shared" si="30"/>
        <v>0</v>
      </c>
      <c r="AP35" s="205">
        <f t="shared" si="31"/>
        <v>0</v>
      </c>
      <c r="AQ35" s="205">
        <f t="shared" si="32"/>
        <v>0</v>
      </c>
      <c r="AR35" s="205">
        <f t="shared" si="33"/>
        <v>0</v>
      </c>
      <c r="AS35" s="205">
        <f t="shared" si="34"/>
        <v>0</v>
      </c>
      <c r="AT35" s="205">
        <f t="shared" si="35"/>
        <v>0</v>
      </c>
      <c r="AU35" s="205">
        <f t="shared" si="36"/>
        <v>0</v>
      </c>
      <c r="AV35" s="205">
        <f t="shared" si="37"/>
        <v>0</v>
      </c>
      <c r="AW35" s="205">
        <f t="shared" si="38"/>
        <v>0</v>
      </c>
      <c r="AX35" s="205">
        <f t="shared" si="39"/>
        <v>0</v>
      </c>
      <c r="AY35" s="205">
        <f t="shared" si="40"/>
        <v>0</v>
      </c>
      <c r="AZ35" s="205">
        <f t="shared" si="41"/>
        <v>0</v>
      </c>
      <c r="BA35" s="205">
        <f t="shared" si="42"/>
        <v>0</v>
      </c>
    </row>
    <row r="36" spans="1:53" ht="24" customHeight="1">
      <c r="A36" s="38">
        <v>1</v>
      </c>
      <c r="B36" s="38">
        <v>1</v>
      </c>
      <c r="C36" s="102">
        <v>7022</v>
      </c>
      <c r="D36" s="65" t="s">
        <v>170</v>
      </c>
      <c r="E36" s="99" t="s">
        <v>171</v>
      </c>
      <c r="F36" s="114">
        <v>0.01</v>
      </c>
      <c r="G36" s="115" t="s">
        <v>167</v>
      </c>
      <c r="H36" s="101"/>
      <c r="I36" s="101">
        <f t="shared" si="24"/>
        <v>0</v>
      </c>
      <c r="J36" s="65"/>
      <c r="K36" s="65"/>
      <c r="L36" s="66"/>
      <c r="M36" s="39"/>
      <c r="N36" s="39"/>
      <c r="O36" s="156">
        <v>0</v>
      </c>
      <c r="P36" s="157"/>
      <c r="Q36" s="287"/>
      <c r="R36" s="287"/>
      <c r="S36" s="287"/>
      <c r="T36" s="287"/>
      <c r="U36" s="287"/>
      <c r="V36" s="213"/>
      <c r="W36" s="213"/>
      <c r="X36" s="213"/>
      <c r="Y36" s="213"/>
      <c r="Z36" s="213"/>
      <c r="AA36" s="213"/>
      <c r="AB36" s="156"/>
      <c r="AC36" s="157"/>
      <c r="AD36" s="213"/>
      <c r="AE36" s="213"/>
      <c r="AF36" s="213"/>
      <c r="AG36" s="213"/>
      <c r="AI36" s="205">
        <f t="shared" si="43"/>
        <v>0</v>
      </c>
      <c r="AJ36" s="205">
        <f t="shared" si="25"/>
        <v>0</v>
      </c>
      <c r="AK36" s="205">
        <f t="shared" si="26"/>
        <v>0</v>
      </c>
      <c r="AL36" s="205">
        <f t="shared" si="27"/>
        <v>0</v>
      </c>
      <c r="AM36" s="205">
        <f t="shared" si="28"/>
        <v>0</v>
      </c>
      <c r="AN36" s="205">
        <f t="shared" si="29"/>
        <v>0</v>
      </c>
      <c r="AO36" s="205">
        <f t="shared" si="30"/>
        <v>0</v>
      </c>
      <c r="AP36" s="205">
        <f t="shared" si="31"/>
        <v>0</v>
      </c>
      <c r="AQ36" s="205">
        <f t="shared" si="32"/>
        <v>0</v>
      </c>
      <c r="AR36" s="205">
        <f t="shared" si="33"/>
        <v>0</v>
      </c>
      <c r="AS36" s="205">
        <f t="shared" si="34"/>
        <v>0</v>
      </c>
      <c r="AT36" s="205">
        <f t="shared" si="35"/>
        <v>0</v>
      </c>
      <c r="AU36" s="205">
        <f t="shared" si="36"/>
        <v>0</v>
      </c>
      <c r="AV36" s="205">
        <f t="shared" si="37"/>
        <v>0</v>
      </c>
      <c r="AW36" s="205">
        <f t="shared" si="38"/>
        <v>0</v>
      </c>
      <c r="AX36" s="205">
        <f t="shared" si="39"/>
        <v>0</v>
      </c>
      <c r="AY36" s="205">
        <f t="shared" si="40"/>
        <v>0</v>
      </c>
      <c r="AZ36" s="205">
        <f t="shared" si="41"/>
        <v>0</v>
      </c>
      <c r="BA36" s="205">
        <f t="shared" si="42"/>
        <v>0</v>
      </c>
    </row>
    <row r="37" spans="1:53" ht="24" customHeight="1">
      <c r="A37" s="38">
        <v>1</v>
      </c>
      <c r="B37" s="38">
        <v>1</v>
      </c>
      <c r="C37" s="102">
        <v>518200</v>
      </c>
      <c r="D37" s="65" t="s">
        <v>172</v>
      </c>
      <c r="E37" s="218" t="s">
        <v>189</v>
      </c>
      <c r="F37" s="114">
        <v>0.2</v>
      </c>
      <c r="G37" s="115" t="s">
        <v>60</v>
      </c>
      <c r="H37" s="101"/>
      <c r="I37" s="101">
        <f t="shared" si="24"/>
        <v>0</v>
      </c>
      <c r="J37" s="65" t="s">
        <v>173</v>
      </c>
      <c r="K37" s="65"/>
      <c r="L37" s="66"/>
      <c r="M37" s="39"/>
      <c r="N37" s="39"/>
      <c r="O37" s="156">
        <v>2300</v>
      </c>
      <c r="P37" s="157"/>
      <c r="Q37" s="287"/>
      <c r="R37" s="287"/>
      <c r="S37" s="287"/>
      <c r="T37" s="287"/>
      <c r="U37" s="287"/>
      <c r="V37" s="213"/>
      <c r="W37" s="213"/>
      <c r="X37" s="213"/>
      <c r="Y37" s="213"/>
      <c r="Z37" s="213"/>
      <c r="AA37" s="213"/>
      <c r="AB37" s="156"/>
      <c r="AC37" s="157"/>
      <c r="AD37" s="213"/>
      <c r="AE37" s="213"/>
      <c r="AF37" s="213"/>
      <c r="AG37" s="213"/>
      <c r="AI37" s="205">
        <f t="shared" si="43"/>
        <v>460</v>
      </c>
      <c r="AJ37" s="205">
        <f t="shared" si="25"/>
        <v>0</v>
      </c>
      <c r="AK37" s="205">
        <f t="shared" si="26"/>
        <v>0</v>
      </c>
      <c r="AL37" s="205">
        <f t="shared" si="27"/>
        <v>0</v>
      </c>
      <c r="AM37" s="205">
        <f t="shared" si="28"/>
        <v>0</v>
      </c>
      <c r="AN37" s="205">
        <f t="shared" si="29"/>
        <v>0</v>
      </c>
      <c r="AO37" s="205">
        <f t="shared" si="30"/>
        <v>0</v>
      </c>
      <c r="AP37" s="205">
        <f t="shared" si="31"/>
        <v>0</v>
      </c>
      <c r="AQ37" s="205">
        <f t="shared" si="32"/>
        <v>0</v>
      </c>
      <c r="AR37" s="205">
        <f t="shared" si="33"/>
        <v>0</v>
      </c>
      <c r="AS37" s="205">
        <f t="shared" si="34"/>
        <v>0</v>
      </c>
      <c r="AT37" s="205">
        <f t="shared" si="35"/>
        <v>0</v>
      </c>
      <c r="AU37" s="205">
        <f t="shared" si="36"/>
        <v>0</v>
      </c>
      <c r="AV37" s="205">
        <f t="shared" si="37"/>
        <v>0</v>
      </c>
      <c r="AW37" s="205">
        <f t="shared" si="38"/>
        <v>0</v>
      </c>
      <c r="AX37" s="205">
        <f t="shared" si="39"/>
        <v>0</v>
      </c>
      <c r="AY37" s="205">
        <f t="shared" si="40"/>
        <v>0</v>
      </c>
      <c r="AZ37" s="205">
        <f t="shared" si="41"/>
        <v>0</v>
      </c>
      <c r="BA37" s="205">
        <f t="shared" si="42"/>
        <v>0</v>
      </c>
    </row>
    <row r="38" spans="1:53" s="39" customFormat="1" ht="24" customHeight="1">
      <c r="A38" s="38">
        <v>1</v>
      </c>
      <c r="B38" s="38">
        <v>1</v>
      </c>
      <c r="C38" s="102">
        <v>5008</v>
      </c>
      <c r="D38" s="65" t="s">
        <v>174</v>
      </c>
      <c r="E38" s="99" t="s">
        <v>175</v>
      </c>
      <c r="F38" s="114">
        <v>0.2</v>
      </c>
      <c r="G38" s="115" t="s">
        <v>60</v>
      </c>
      <c r="H38" s="101"/>
      <c r="I38" s="101">
        <f t="shared" si="24"/>
        <v>0</v>
      </c>
      <c r="J38" s="65"/>
      <c r="K38" s="65"/>
      <c r="L38" s="66"/>
      <c r="O38" s="156">
        <v>0</v>
      </c>
      <c r="P38" s="157"/>
      <c r="Q38" s="287"/>
      <c r="R38" s="287"/>
      <c r="S38" s="287"/>
      <c r="T38" s="287"/>
      <c r="U38" s="287"/>
      <c r="V38" s="213"/>
      <c r="W38" s="213"/>
      <c r="X38" s="213"/>
      <c r="Y38" s="213"/>
      <c r="Z38" s="213"/>
      <c r="AA38" s="213"/>
      <c r="AB38" s="156"/>
      <c r="AC38" s="157"/>
      <c r="AD38" s="213"/>
      <c r="AE38" s="213"/>
      <c r="AF38" s="213"/>
      <c r="AG38" s="213"/>
      <c r="AI38" s="205">
        <f t="shared" si="43"/>
        <v>0</v>
      </c>
      <c r="AJ38" s="205">
        <f t="shared" si="25"/>
        <v>0</v>
      </c>
      <c r="AK38" s="205">
        <f t="shared" si="26"/>
        <v>0</v>
      </c>
      <c r="AL38" s="205">
        <f t="shared" si="27"/>
        <v>0</v>
      </c>
      <c r="AM38" s="205">
        <f t="shared" si="28"/>
        <v>0</v>
      </c>
      <c r="AN38" s="205">
        <f t="shared" si="29"/>
        <v>0</v>
      </c>
      <c r="AO38" s="205">
        <f t="shared" si="30"/>
        <v>0</v>
      </c>
      <c r="AP38" s="205">
        <f t="shared" si="31"/>
        <v>0</v>
      </c>
      <c r="AQ38" s="205">
        <f t="shared" si="32"/>
        <v>0</v>
      </c>
      <c r="AR38" s="205">
        <f t="shared" si="33"/>
        <v>0</v>
      </c>
      <c r="AS38" s="205">
        <f t="shared" si="34"/>
        <v>0</v>
      </c>
      <c r="AT38" s="205">
        <f t="shared" si="35"/>
        <v>0</v>
      </c>
      <c r="AU38" s="205">
        <f t="shared" si="36"/>
        <v>0</v>
      </c>
      <c r="AV38" s="205">
        <f t="shared" si="37"/>
        <v>0</v>
      </c>
      <c r="AW38" s="205">
        <f t="shared" si="38"/>
        <v>0</v>
      </c>
      <c r="AX38" s="205">
        <f t="shared" si="39"/>
        <v>0</v>
      </c>
      <c r="AY38" s="205">
        <f t="shared" si="40"/>
        <v>0</v>
      </c>
      <c r="AZ38" s="205">
        <f t="shared" si="41"/>
        <v>0</v>
      </c>
      <c r="BA38" s="205">
        <f t="shared" si="42"/>
        <v>0</v>
      </c>
    </row>
    <row r="39" spans="1:53" ht="24" customHeight="1">
      <c r="A39" s="38">
        <v>1</v>
      </c>
      <c r="B39" s="38">
        <v>1</v>
      </c>
      <c r="C39" s="102">
        <v>6001</v>
      </c>
      <c r="D39" s="65" t="s">
        <v>176</v>
      </c>
      <c r="E39" s="99" t="s">
        <v>175</v>
      </c>
      <c r="F39" s="114">
        <v>0.2</v>
      </c>
      <c r="G39" s="115" t="s">
        <v>143</v>
      </c>
      <c r="H39" s="101"/>
      <c r="I39" s="101">
        <f t="shared" si="24"/>
        <v>0</v>
      </c>
      <c r="J39" s="65"/>
      <c r="K39" s="65"/>
      <c r="L39" s="66"/>
      <c r="M39" s="39"/>
      <c r="N39" s="39"/>
      <c r="O39" s="156">
        <v>36</v>
      </c>
      <c r="P39" s="157"/>
      <c r="Q39" s="287"/>
      <c r="R39" s="287"/>
      <c r="S39" s="287"/>
      <c r="T39" s="287"/>
      <c r="U39" s="287"/>
      <c r="V39" s="213"/>
      <c r="W39" s="213"/>
      <c r="X39" s="213"/>
      <c r="Y39" s="213"/>
      <c r="Z39" s="213"/>
      <c r="AA39" s="213"/>
      <c r="AB39" s="156"/>
      <c r="AC39" s="157"/>
      <c r="AD39" s="213"/>
      <c r="AE39" s="213"/>
      <c r="AF39" s="213"/>
      <c r="AG39" s="213"/>
      <c r="AI39" s="205">
        <f t="shared" si="43"/>
        <v>7.2</v>
      </c>
      <c r="AJ39" s="205">
        <f t="shared" si="25"/>
        <v>0</v>
      </c>
      <c r="AK39" s="205">
        <f t="shared" si="26"/>
        <v>0</v>
      </c>
      <c r="AL39" s="205">
        <f t="shared" si="27"/>
        <v>0</v>
      </c>
      <c r="AM39" s="205">
        <f t="shared" si="28"/>
        <v>0</v>
      </c>
      <c r="AN39" s="205">
        <f t="shared" si="29"/>
        <v>0</v>
      </c>
      <c r="AO39" s="205">
        <f t="shared" si="30"/>
        <v>0</v>
      </c>
      <c r="AP39" s="205">
        <f t="shared" si="31"/>
        <v>0</v>
      </c>
      <c r="AQ39" s="205">
        <f t="shared" si="32"/>
        <v>0</v>
      </c>
      <c r="AR39" s="205">
        <f t="shared" si="33"/>
        <v>0</v>
      </c>
      <c r="AS39" s="205">
        <f t="shared" si="34"/>
        <v>0</v>
      </c>
      <c r="AT39" s="205">
        <f t="shared" si="35"/>
        <v>0</v>
      </c>
      <c r="AU39" s="205">
        <f t="shared" si="36"/>
        <v>0</v>
      </c>
      <c r="AV39" s="205">
        <f t="shared" si="37"/>
        <v>0</v>
      </c>
      <c r="AW39" s="205">
        <f t="shared" si="38"/>
        <v>0</v>
      </c>
      <c r="AX39" s="205">
        <f t="shared" si="39"/>
        <v>0</v>
      </c>
      <c r="AY39" s="205">
        <f t="shared" si="40"/>
        <v>0</v>
      </c>
      <c r="AZ39" s="205">
        <f t="shared" si="41"/>
        <v>0</v>
      </c>
      <c r="BA39" s="205">
        <f t="shared" si="42"/>
        <v>0</v>
      </c>
    </row>
    <row r="40" spans="1:53" s="39" customFormat="1" ht="24" customHeight="1">
      <c r="A40" s="38">
        <v>1</v>
      </c>
      <c r="B40" s="38">
        <v>1</v>
      </c>
      <c r="C40" s="102">
        <v>6020</v>
      </c>
      <c r="D40" s="65" t="s">
        <v>227</v>
      </c>
      <c r="E40" s="99" t="s">
        <v>181</v>
      </c>
      <c r="F40" s="114">
        <v>0.2</v>
      </c>
      <c r="G40" s="115" t="s">
        <v>182</v>
      </c>
      <c r="H40" s="101"/>
      <c r="I40" s="101">
        <f t="shared" si="24"/>
        <v>0</v>
      </c>
      <c r="J40" s="65" t="s">
        <v>183</v>
      </c>
      <c r="K40" s="65"/>
      <c r="L40" s="66"/>
      <c r="O40" s="156">
        <v>0</v>
      </c>
      <c r="P40" s="157"/>
      <c r="Q40" s="287"/>
      <c r="R40" s="287"/>
      <c r="S40" s="287"/>
      <c r="T40" s="287"/>
      <c r="U40" s="287"/>
      <c r="V40" s="213"/>
      <c r="W40" s="213"/>
      <c r="X40" s="213"/>
      <c r="Y40" s="213"/>
      <c r="Z40" s="213"/>
      <c r="AA40" s="213"/>
      <c r="AB40" s="156"/>
      <c r="AC40" s="157"/>
      <c r="AD40" s="213"/>
      <c r="AE40" s="213"/>
      <c r="AF40" s="213"/>
      <c r="AG40" s="213"/>
      <c r="AI40" s="205">
        <f t="shared" si="43"/>
        <v>0</v>
      </c>
      <c r="AJ40" s="205">
        <f t="shared" si="25"/>
        <v>0</v>
      </c>
      <c r="AK40" s="205">
        <f t="shared" si="26"/>
        <v>0</v>
      </c>
      <c r="AL40" s="205">
        <f t="shared" si="27"/>
        <v>0</v>
      </c>
      <c r="AM40" s="205">
        <f t="shared" si="28"/>
        <v>0</v>
      </c>
      <c r="AN40" s="205">
        <f t="shared" si="29"/>
        <v>0</v>
      </c>
      <c r="AO40" s="205">
        <f t="shared" si="30"/>
        <v>0</v>
      </c>
      <c r="AP40" s="205">
        <f t="shared" si="31"/>
        <v>0</v>
      </c>
      <c r="AQ40" s="205">
        <f t="shared" si="32"/>
        <v>0</v>
      </c>
      <c r="AR40" s="205">
        <f t="shared" si="33"/>
        <v>0</v>
      </c>
      <c r="AS40" s="205">
        <f t="shared" si="34"/>
        <v>0</v>
      </c>
      <c r="AT40" s="205">
        <f t="shared" si="35"/>
        <v>0</v>
      </c>
      <c r="AU40" s="205">
        <f t="shared" si="36"/>
        <v>0</v>
      </c>
      <c r="AV40" s="205">
        <f t="shared" si="37"/>
        <v>0</v>
      </c>
      <c r="AW40" s="205">
        <f t="shared" si="38"/>
        <v>0</v>
      </c>
      <c r="AX40" s="205">
        <f t="shared" si="39"/>
        <v>0</v>
      </c>
      <c r="AY40" s="205">
        <f t="shared" si="40"/>
        <v>0</v>
      </c>
      <c r="AZ40" s="205">
        <f t="shared" si="41"/>
        <v>0</v>
      </c>
      <c r="BA40" s="205">
        <f t="shared" si="42"/>
        <v>0</v>
      </c>
    </row>
    <row r="41" spans="1:53" s="39" customFormat="1" ht="24" customHeight="1">
      <c r="A41" s="38"/>
      <c r="B41" s="38"/>
      <c r="C41" s="124"/>
      <c r="D41" s="187"/>
      <c r="E41" s="114"/>
      <c r="F41" s="114"/>
      <c r="G41" s="115"/>
      <c r="H41" s="131"/>
      <c r="I41" s="101" t="str">
        <f>IF(F41="","",ROUNDDOWN(F41*H41,0))</f>
        <v/>
      </c>
      <c r="J41" s="64"/>
      <c r="K41" s="65"/>
      <c r="L41" s="66"/>
      <c r="O41" s="156"/>
      <c r="P41" s="157"/>
      <c r="Q41" s="287"/>
      <c r="R41" s="287"/>
      <c r="S41" s="287"/>
      <c r="T41" s="287"/>
      <c r="U41" s="287"/>
      <c r="V41" s="213"/>
      <c r="W41" s="213"/>
      <c r="X41" s="213"/>
      <c r="Y41" s="213"/>
      <c r="Z41" s="213"/>
      <c r="AA41" s="213"/>
      <c r="AB41" s="156"/>
      <c r="AC41" s="157"/>
      <c r="AD41" s="213"/>
      <c r="AE41" s="213"/>
      <c r="AF41" s="213"/>
      <c r="AG41" s="213"/>
      <c r="AI41" s="205">
        <f t="shared" si="43"/>
        <v>0</v>
      </c>
      <c r="AJ41" s="205">
        <f t="shared" si="25"/>
        <v>0</v>
      </c>
      <c r="AK41" s="205">
        <f t="shared" si="26"/>
        <v>0</v>
      </c>
      <c r="AL41" s="205">
        <f t="shared" si="27"/>
        <v>0</v>
      </c>
      <c r="AM41" s="205">
        <f t="shared" si="28"/>
        <v>0</v>
      </c>
      <c r="AN41" s="205">
        <f t="shared" si="29"/>
        <v>0</v>
      </c>
      <c r="AO41" s="205">
        <f t="shared" si="30"/>
        <v>0</v>
      </c>
      <c r="AP41" s="205">
        <f t="shared" si="31"/>
        <v>0</v>
      </c>
      <c r="AQ41" s="205">
        <f t="shared" si="32"/>
        <v>0</v>
      </c>
      <c r="AR41" s="205">
        <f t="shared" si="33"/>
        <v>0</v>
      </c>
      <c r="AS41" s="205">
        <f t="shared" si="34"/>
        <v>0</v>
      </c>
      <c r="AT41" s="205">
        <f t="shared" si="35"/>
        <v>0</v>
      </c>
      <c r="AU41" s="205">
        <f t="shared" si="36"/>
        <v>0</v>
      </c>
      <c r="AV41" s="205">
        <f t="shared" si="37"/>
        <v>0</v>
      </c>
      <c r="AW41" s="205">
        <f t="shared" si="38"/>
        <v>0</v>
      </c>
      <c r="AX41" s="205">
        <f t="shared" si="39"/>
        <v>0</v>
      </c>
      <c r="AY41" s="205">
        <f t="shared" si="40"/>
        <v>0</v>
      </c>
      <c r="AZ41" s="205">
        <f t="shared" si="41"/>
        <v>0</v>
      </c>
      <c r="BA41" s="205">
        <f t="shared" si="42"/>
        <v>0</v>
      </c>
    </row>
    <row r="42" spans="1:53" s="39" customFormat="1" ht="24" customHeight="1">
      <c r="A42" s="38"/>
      <c r="B42" s="38"/>
      <c r="C42" s="124"/>
      <c r="D42" s="125" t="s">
        <v>177</v>
      </c>
      <c r="E42" s="114"/>
      <c r="F42" s="114"/>
      <c r="G42" s="115"/>
      <c r="H42" s="131"/>
      <c r="I42" s="101" t="str">
        <f>IF(F42="","",ROUNDDOWN(F42*H42,0))</f>
        <v/>
      </c>
      <c r="J42" s="64"/>
      <c r="K42" s="65"/>
      <c r="L42" s="66"/>
      <c r="O42" s="156"/>
      <c r="P42" s="157"/>
      <c r="Q42" s="287"/>
      <c r="R42" s="287"/>
      <c r="S42" s="287"/>
      <c r="T42" s="287"/>
      <c r="U42" s="287"/>
      <c r="V42" s="213"/>
      <c r="W42" s="213"/>
      <c r="X42" s="213"/>
      <c r="Y42" s="213"/>
      <c r="Z42" s="213"/>
      <c r="AA42" s="213"/>
      <c r="AB42" s="156"/>
      <c r="AC42" s="157"/>
      <c r="AD42" s="213"/>
      <c r="AE42" s="213"/>
      <c r="AF42" s="213"/>
      <c r="AG42" s="213"/>
      <c r="AI42" s="205">
        <f t="shared" si="43"/>
        <v>0</v>
      </c>
      <c r="AJ42" s="205">
        <f t="shared" si="25"/>
        <v>0</v>
      </c>
      <c r="AK42" s="205">
        <f t="shared" si="26"/>
        <v>0</v>
      </c>
      <c r="AL42" s="205">
        <f t="shared" si="27"/>
        <v>0</v>
      </c>
      <c r="AM42" s="205">
        <f t="shared" si="28"/>
        <v>0</v>
      </c>
      <c r="AN42" s="205">
        <f t="shared" si="29"/>
        <v>0</v>
      </c>
      <c r="AO42" s="205">
        <f t="shared" si="30"/>
        <v>0</v>
      </c>
      <c r="AP42" s="205">
        <f t="shared" si="31"/>
        <v>0</v>
      </c>
      <c r="AQ42" s="205">
        <f t="shared" si="32"/>
        <v>0</v>
      </c>
      <c r="AR42" s="205">
        <f t="shared" si="33"/>
        <v>0</v>
      </c>
      <c r="AS42" s="205">
        <f t="shared" si="34"/>
        <v>0</v>
      </c>
      <c r="AT42" s="205">
        <f t="shared" si="35"/>
        <v>0</v>
      </c>
      <c r="AU42" s="205">
        <f t="shared" si="36"/>
        <v>0</v>
      </c>
      <c r="AV42" s="205">
        <f t="shared" si="37"/>
        <v>0</v>
      </c>
      <c r="AW42" s="205">
        <f t="shared" si="38"/>
        <v>0</v>
      </c>
      <c r="AX42" s="205">
        <f t="shared" si="39"/>
        <v>0</v>
      </c>
      <c r="AY42" s="205">
        <f t="shared" si="40"/>
        <v>0</v>
      </c>
      <c r="AZ42" s="205">
        <f t="shared" si="41"/>
        <v>0</v>
      </c>
      <c r="BA42" s="205">
        <f t="shared" si="42"/>
        <v>0</v>
      </c>
    </row>
    <row r="43" spans="1:53" s="39" customFormat="1" ht="24" customHeight="1">
      <c r="A43" s="38"/>
      <c r="B43" s="38"/>
      <c r="C43" s="124"/>
      <c r="D43" s="125" t="s">
        <v>178</v>
      </c>
      <c r="E43" s="100" t="s">
        <v>188</v>
      </c>
      <c r="F43" s="100"/>
      <c r="G43" s="115"/>
      <c r="H43" s="131"/>
      <c r="I43" s="101" t="str">
        <f>IF(F43="","",ROUNDDOWN(F43*H43,0))</f>
        <v/>
      </c>
      <c r="J43" s="64"/>
      <c r="K43" s="65"/>
      <c r="L43" s="66"/>
      <c r="O43" s="156"/>
      <c r="P43" s="157"/>
      <c r="Q43" s="287"/>
      <c r="R43" s="287"/>
      <c r="S43" s="287"/>
      <c r="T43" s="287"/>
      <c r="U43" s="287"/>
      <c r="V43" s="213"/>
      <c r="W43" s="213"/>
      <c r="X43" s="213"/>
      <c r="Y43" s="213"/>
      <c r="Z43" s="213"/>
      <c r="AA43" s="213"/>
      <c r="AB43" s="156"/>
      <c r="AC43" s="157"/>
      <c r="AD43" s="213"/>
      <c r="AE43" s="213"/>
      <c r="AF43" s="213"/>
      <c r="AG43" s="213"/>
      <c r="AI43" s="205">
        <f t="shared" si="43"/>
        <v>0</v>
      </c>
      <c r="AJ43" s="205">
        <f t="shared" si="25"/>
        <v>0</v>
      </c>
      <c r="AK43" s="205">
        <f t="shared" si="26"/>
        <v>0</v>
      </c>
      <c r="AL43" s="205">
        <f t="shared" si="27"/>
        <v>0</v>
      </c>
      <c r="AM43" s="205">
        <f t="shared" si="28"/>
        <v>0</v>
      </c>
      <c r="AN43" s="205">
        <f t="shared" si="29"/>
        <v>0</v>
      </c>
      <c r="AO43" s="205">
        <f t="shared" si="30"/>
        <v>0</v>
      </c>
      <c r="AP43" s="205">
        <f t="shared" si="31"/>
        <v>0</v>
      </c>
      <c r="AQ43" s="205">
        <f t="shared" si="32"/>
        <v>0</v>
      </c>
      <c r="AR43" s="205">
        <f t="shared" si="33"/>
        <v>0</v>
      </c>
      <c r="AS43" s="205">
        <f t="shared" si="34"/>
        <v>0</v>
      </c>
      <c r="AT43" s="205">
        <f t="shared" si="35"/>
        <v>0</v>
      </c>
      <c r="AU43" s="205">
        <f t="shared" si="36"/>
        <v>0</v>
      </c>
      <c r="AV43" s="205">
        <f t="shared" si="37"/>
        <v>0</v>
      </c>
      <c r="AW43" s="205">
        <f t="shared" si="38"/>
        <v>0</v>
      </c>
      <c r="AX43" s="205">
        <f t="shared" si="39"/>
        <v>0</v>
      </c>
      <c r="AY43" s="205">
        <f t="shared" si="40"/>
        <v>0</v>
      </c>
      <c r="AZ43" s="205">
        <f t="shared" si="41"/>
        <v>0</v>
      </c>
      <c r="BA43" s="205">
        <f t="shared" si="42"/>
        <v>0</v>
      </c>
    </row>
    <row r="44" spans="1:53" s="39" customFormat="1" ht="24" customHeight="1">
      <c r="A44" s="38"/>
      <c r="B44" s="38"/>
      <c r="C44" s="124"/>
      <c r="D44" s="125" t="s">
        <v>179</v>
      </c>
      <c r="E44" s="114"/>
      <c r="F44" s="114"/>
      <c r="G44" s="115"/>
      <c r="H44" s="131"/>
      <c r="I44" s="101" t="str">
        <f>IF(F44="","",ROUNDDOWN(F44*H44,0))</f>
        <v/>
      </c>
      <c r="J44" s="64"/>
      <c r="K44" s="65"/>
      <c r="L44" s="66"/>
      <c r="O44" s="156"/>
      <c r="P44" s="157"/>
      <c r="Q44" s="287"/>
      <c r="R44" s="287"/>
      <c r="S44" s="287"/>
      <c r="T44" s="287"/>
      <c r="U44" s="287"/>
      <c r="V44" s="213"/>
      <c r="W44" s="213"/>
      <c r="X44" s="213"/>
      <c r="Y44" s="213"/>
      <c r="Z44" s="213"/>
      <c r="AA44" s="213"/>
      <c r="AB44" s="156"/>
      <c r="AC44" s="157"/>
      <c r="AD44" s="213"/>
      <c r="AE44" s="213"/>
      <c r="AF44" s="213"/>
      <c r="AG44" s="213"/>
      <c r="AI44" s="205">
        <f t="shared" si="43"/>
        <v>0</v>
      </c>
      <c r="AJ44" s="205">
        <f t="shared" si="25"/>
        <v>0</v>
      </c>
      <c r="AK44" s="205">
        <f t="shared" si="26"/>
        <v>0</v>
      </c>
      <c r="AL44" s="205">
        <f t="shared" si="27"/>
        <v>0</v>
      </c>
      <c r="AM44" s="205">
        <f t="shared" si="28"/>
        <v>0</v>
      </c>
      <c r="AN44" s="205">
        <f t="shared" si="29"/>
        <v>0</v>
      </c>
      <c r="AO44" s="205">
        <f t="shared" si="30"/>
        <v>0</v>
      </c>
      <c r="AP44" s="205">
        <f t="shared" si="31"/>
        <v>0</v>
      </c>
      <c r="AQ44" s="205">
        <f t="shared" si="32"/>
        <v>0</v>
      </c>
      <c r="AR44" s="205">
        <f t="shared" si="33"/>
        <v>0</v>
      </c>
      <c r="AS44" s="205">
        <f t="shared" si="34"/>
        <v>0</v>
      </c>
      <c r="AT44" s="205">
        <f t="shared" si="35"/>
        <v>0</v>
      </c>
      <c r="AU44" s="205">
        <f t="shared" si="36"/>
        <v>0</v>
      </c>
      <c r="AV44" s="205">
        <f t="shared" si="37"/>
        <v>0</v>
      </c>
      <c r="AW44" s="205">
        <f t="shared" si="38"/>
        <v>0</v>
      </c>
      <c r="AX44" s="205">
        <f t="shared" si="39"/>
        <v>0</v>
      </c>
      <c r="AY44" s="205">
        <f t="shared" si="40"/>
        <v>0</v>
      </c>
      <c r="AZ44" s="205">
        <f t="shared" si="41"/>
        <v>0</v>
      </c>
      <c r="BA44" s="205">
        <f t="shared" si="42"/>
        <v>0</v>
      </c>
    </row>
    <row r="45" spans="1:53" s="39" customFormat="1" ht="24" customHeight="1">
      <c r="A45" s="38"/>
      <c r="B45" s="38"/>
      <c r="C45" s="124"/>
      <c r="D45" s="125" t="s">
        <v>180</v>
      </c>
      <c r="E45" s="100" t="s">
        <v>190</v>
      </c>
      <c r="F45" s="114"/>
      <c r="G45" s="115"/>
      <c r="H45" s="131"/>
      <c r="I45" s="101" t="str">
        <f>IF(F45="","",ROUNDDOWN(F45*H45,0))</f>
        <v/>
      </c>
      <c r="J45" s="64"/>
      <c r="K45" s="65"/>
      <c r="L45" s="66"/>
      <c r="O45" s="156"/>
      <c r="P45" s="157"/>
      <c r="Q45" s="287"/>
      <c r="R45" s="287"/>
      <c r="S45" s="287"/>
      <c r="T45" s="287"/>
      <c r="U45" s="287"/>
      <c r="V45" s="213"/>
      <c r="W45" s="213"/>
      <c r="X45" s="213"/>
      <c r="Y45" s="213"/>
      <c r="Z45" s="213"/>
      <c r="AA45" s="213"/>
      <c r="AB45" s="156"/>
      <c r="AC45" s="157"/>
      <c r="AD45" s="213"/>
      <c r="AE45" s="213"/>
      <c r="AF45" s="213"/>
      <c r="AG45" s="213"/>
      <c r="AI45" s="205">
        <f t="shared" si="43"/>
        <v>0</v>
      </c>
      <c r="AJ45" s="205">
        <f t="shared" si="25"/>
        <v>0</v>
      </c>
      <c r="AK45" s="205">
        <f t="shared" si="26"/>
        <v>0</v>
      </c>
      <c r="AL45" s="205">
        <f t="shared" si="27"/>
        <v>0</v>
      </c>
      <c r="AM45" s="205">
        <f t="shared" si="28"/>
        <v>0</v>
      </c>
      <c r="AN45" s="205">
        <f t="shared" si="29"/>
        <v>0</v>
      </c>
      <c r="AO45" s="205">
        <f t="shared" si="30"/>
        <v>0</v>
      </c>
      <c r="AP45" s="205">
        <f t="shared" si="31"/>
        <v>0</v>
      </c>
      <c r="AQ45" s="205">
        <f t="shared" si="32"/>
        <v>0</v>
      </c>
      <c r="AR45" s="205">
        <f t="shared" si="33"/>
        <v>0</v>
      </c>
      <c r="AS45" s="205">
        <f t="shared" si="34"/>
        <v>0</v>
      </c>
      <c r="AT45" s="205">
        <f t="shared" si="35"/>
        <v>0</v>
      </c>
      <c r="AU45" s="205">
        <f t="shared" si="36"/>
        <v>0</v>
      </c>
      <c r="AV45" s="205">
        <f t="shared" si="37"/>
        <v>0</v>
      </c>
      <c r="AW45" s="205">
        <f t="shared" si="38"/>
        <v>0</v>
      </c>
      <c r="AX45" s="205">
        <f t="shared" si="39"/>
        <v>0</v>
      </c>
      <c r="AY45" s="205">
        <f t="shared" si="40"/>
        <v>0</v>
      </c>
      <c r="AZ45" s="205">
        <f t="shared" si="41"/>
        <v>0</v>
      </c>
      <c r="BA45" s="205">
        <f t="shared" si="42"/>
        <v>0</v>
      </c>
    </row>
    <row r="46" spans="1:53" s="39" customFormat="1" ht="24" customHeight="1">
      <c r="A46" s="38"/>
      <c r="B46" s="38"/>
      <c r="C46" s="124"/>
      <c r="D46" s="125"/>
      <c r="E46" s="100" t="s">
        <v>191</v>
      </c>
      <c r="F46" s="114"/>
      <c r="G46" s="115"/>
      <c r="H46" s="131"/>
      <c r="I46" s="101"/>
      <c r="J46" s="64"/>
      <c r="K46" s="65"/>
      <c r="L46" s="66"/>
      <c r="O46" s="156"/>
      <c r="P46" s="157"/>
      <c r="Q46" s="287"/>
      <c r="R46" s="287"/>
      <c r="S46" s="287"/>
      <c r="T46" s="287"/>
      <c r="U46" s="287"/>
      <c r="V46" s="213"/>
      <c r="W46" s="213"/>
      <c r="X46" s="213"/>
      <c r="Y46" s="213"/>
      <c r="Z46" s="213"/>
      <c r="AA46" s="213"/>
      <c r="AB46" s="156"/>
      <c r="AC46" s="157"/>
      <c r="AD46" s="213"/>
      <c r="AE46" s="213"/>
      <c r="AF46" s="213"/>
      <c r="AG46" s="213"/>
      <c r="AI46" s="205">
        <f t="shared" si="43"/>
        <v>0</v>
      </c>
      <c r="AJ46" s="205">
        <f t="shared" si="25"/>
        <v>0</v>
      </c>
      <c r="AK46" s="205">
        <f t="shared" si="26"/>
        <v>0</v>
      </c>
      <c r="AL46" s="205">
        <f t="shared" si="27"/>
        <v>0</v>
      </c>
      <c r="AM46" s="205">
        <f t="shared" si="28"/>
        <v>0</v>
      </c>
      <c r="AN46" s="205">
        <f t="shared" si="29"/>
        <v>0</v>
      </c>
      <c r="AO46" s="205">
        <f t="shared" si="30"/>
        <v>0</v>
      </c>
      <c r="AP46" s="205">
        <f t="shared" si="31"/>
        <v>0</v>
      </c>
      <c r="AQ46" s="205">
        <f t="shared" si="32"/>
        <v>0</v>
      </c>
      <c r="AR46" s="205">
        <f t="shared" si="33"/>
        <v>0</v>
      </c>
      <c r="AS46" s="205">
        <f t="shared" si="34"/>
        <v>0</v>
      </c>
      <c r="AT46" s="205">
        <f t="shared" si="35"/>
        <v>0</v>
      </c>
      <c r="AU46" s="205">
        <f t="shared" si="36"/>
        <v>0</v>
      </c>
      <c r="AV46" s="205">
        <f t="shared" si="37"/>
        <v>0</v>
      </c>
      <c r="AW46" s="205">
        <f t="shared" si="38"/>
        <v>0</v>
      </c>
      <c r="AX46" s="205">
        <f t="shared" si="39"/>
        <v>0</v>
      </c>
      <c r="AY46" s="205">
        <f t="shared" si="40"/>
        <v>0</v>
      </c>
      <c r="AZ46" s="205">
        <f t="shared" si="41"/>
        <v>0</v>
      </c>
      <c r="BA46" s="205">
        <f t="shared" si="42"/>
        <v>0</v>
      </c>
    </row>
    <row r="47" spans="1:53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207">
        <f>SUM(I29:I46)</f>
        <v>0</v>
      </c>
      <c r="J47" s="92" t="s">
        <v>89</v>
      </c>
      <c r="K47" s="92"/>
      <c r="L47" s="119"/>
      <c r="N47"/>
      <c r="O47" s="288">
        <f t="shared" ref="O47:AG47" si="44">AI47</f>
        <v>477.2</v>
      </c>
      <c r="P47" s="289">
        <f t="shared" si="44"/>
        <v>0</v>
      </c>
      <c r="Q47" s="290">
        <f t="shared" si="44"/>
        <v>0</v>
      </c>
      <c r="R47" s="290">
        <f t="shared" si="44"/>
        <v>0</v>
      </c>
      <c r="S47" s="290">
        <f t="shared" si="44"/>
        <v>0</v>
      </c>
      <c r="T47" s="290">
        <f t="shared" si="44"/>
        <v>0</v>
      </c>
      <c r="U47" s="290">
        <f t="shared" si="44"/>
        <v>0</v>
      </c>
      <c r="V47" s="291">
        <f t="shared" si="44"/>
        <v>0</v>
      </c>
      <c r="W47" s="291">
        <f t="shared" si="44"/>
        <v>0</v>
      </c>
      <c r="X47" s="291">
        <f t="shared" si="44"/>
        <v>0</v>
      </c>
      <c r="Y47" s="291">
        <f t="shared" si="44"/>
        <v>0</v>
      </c>
      <c r="Z47" s="291">
        <f t="shared" si="44"/>
        <v>0</v>
      </c>
      <c r="AA47" s="291">
        <f t="shared" si="44"/>
        <v>0</v>
      </c>
      <c r="AB47" s="288">
        <f t="shared" si="44"/>
        <v>0</v>
      </c>
      <c r="AC47" s="289">
        <f t="shared" si="44"/>
        <v>0</v>
      </c>
      <c r="AD47" s="291">
        <f t="shared" si="44"/>
        <v>0</v>
      </c>
      <c r="AE47" s="291">
        <f t="shared" si="44"/>
        <v>0</v>
      </c>
      <c r="AF47" s="291">
        <f t="shared" si="44"/>
        <v>0</v>
      </c>
      <c r="AG47" s="291">
        <f t="shared" si="44"/>
        <v>0</v>
      </c>
      <c r="AI47" s="206">
        <f t="shared" ref="AI47:BA47" si="45">SUM(AI29:AI46)</f>
        <v>477.2</v>
      </c>
      <c r="AJ47" s="206">
        <f t="shared" si="45"/>
        <v>0</v>
      </c>
      <c r="AK47" s="206">
        <f t="shared" si="45"/>
        <v>0</v>
      </c>
      <c r="AL47" s="206">
        <f t="shared" si="45"/>
        <v>0</v>
      </c>
      <c r="AM47" s="206">
        <f t="shared" si="45"/>
        <v>0</v>
      </c>
      <c r="AN47" s="206">
        <f t="shared" si="45"/>
        <v>0</v>
      </c>
      <c r="AO47" s="206">
        <f t="shared" si="45"/>
        <v>0</v>
      </c>
      <c r="AP47" s="206">
        <f t="shared" si="45"/>
        <v>0</v>
      </c>
      <c r="AQ47" s="206">
        <f t="shared" si="45"/>
        <v>0</v>
      </c>
      <c r="AR47" s="206">
        <f t="shared" si="45"/>
        <v>0</v>
      </c>
      <c r="AS47" s="206">
        <f t="shared" si="45"/>
        <v>0</v>
      </c>
      <c r="AT47" s="206">
        <f t="shared" si="45"/>
        <v>0</v>
      </c>
      <c r="AU47" s="206">
        <f t="shared" si="45"/>
        <v>0</v>
      </c>
      <c r="AV47" s="206">
        <f t="shared" si="45"/>
        <v>0</v>
      </c>
      <c r="AW47" s="206">
        <f t="shared" si="45"/>
        <v>0</v>
      </c>
      <c r="AX47" s="206">
        <f t="shared" si="45"/>
        <v>0</v>
      </c>
      <c r="AY47" s="206">
        <f t="shared" si="45"/>
        <v>0</v>
      </c>
      <c r="AZ47" s="206">
        <f t="shared" si="45"/>
        <v>0</v>
      </c>
      <c r="BA47" s="206">
        <f t="shared" si="45"/>
        <v>0</v>
      </c>
    </row>
    <row r="48" spans="1:53" ht="14.25" customHeight="1">
      <c r="E48" s="120" t="s">
        <v>86</v>
      </c>
      <c r="F48" s="121">
        <f>+F25+1</f>
        <v>2</v>
      </c>
      <c r="G48" s="122" t="s">
        <v>87</v>
      </c>
      <c r="H48" s="123">
        <f>+H25</f>
        <v>2</v>
      </c>
      <c r="I48" s="123"/>
      <c r="M48" s="33" t="str">
        <f>IF(A50="","EOL","")</f>
        <v>EOL</v>
      </c>
      <c r="N48" s="1">
        <f>+F48</f>
        <v>2</v>
      </c>
    </row>
  </sheetData>
  <mergeCells count="8">
    <mergeCell ref="O3:AG3"/>
    <mergeCell ref="O26:AG26"/>
    <mergeCell ref="C26:L26"/>
    <mergeCell ref="J27:L27"/>
    <mergeCell ref="J28:L28"/>
    <mergeCell ref="J5:L5"/>
    <mergeCell ref="C3:L3"/>
    <mergeCell ref="J4:L4"/>
  </mergeCells>
  <phoneticPr fontId="2"/>
  <printOptions horizontalCentered="1" verticalCentered="1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colBreaks count="1" manualBreakCount="1">
    <brk id="12" max="1048575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R162"/>
  <sheetViews>
    <sheetView topLeftCell="A82" zoomScale="85" zoomScaleNormal="85" workbookViewId="0">
      <selection activeCell="D146" sqref="D146"/>
    </sheetView>
  </sheetViews>
  <sheetFormatPr baseColWidth="10" defaultColWidth="9" defaultRowHeight="20.25" customHeight="1"/>
  <cols>
    <col min="1" max="1" width="6.1640625" style="214" customWidth="1"/>
    <col min="2" max="3" width="4.1640625" style="214" customWidth="1"/>
    <col min="4" max="4" width="24" style="215" customWidth="1"/>
    <col min="5" max="5" width="21.1640625" style="215" customWidth="1"/>
    <col min="6" max="6" width="4.6640625" style="215" customWidth="1"/>
    <col min="7" max="7" width="4.33203125" style="214" customWidth="1"/>
    <col min="8" max="15" width="9.33203125" style="216" customWidth="1"/>
    <col min="16" max="16" width="9.33203125" style="215" bestFit="1" customWidth="1"/>
    <col min="17" max="17" width="5.83203125" style="215" customWidth="1"/>
    <col min="18" max="20" width="10.6640625" style="215" customWidth="1"/>
    <col min="21" max="16384" width="9" style="215"/>
  </cols>
  <sheetData>
    <row r="1" spans="1:17" s="20" customFormat="1" ht="20.25" customHeight="1" thickBot="1">
      <c r="A1" s="2865" t="s">
        <v>2978</v>
      </c>
      <c r="B1" s="2865"/>
      <c r="C1" s="2865"/>
      <c r="D1" s="2865"/>
      <c r="E1" s="2865"/>
      <c r="F1" s="2865"/>
      <c r="G1" s="2865"/>
      <c r="H1" s="2865"/>
      <c r="I1" s="2865"/>
      <c r="J1" s="2865"/>
      <c r="K1" s="2865"/>
      <c r="L1" s="2865"/>
      <c r="M1" s="2865"/>
      <c r="N1" s="24" t="s">
        <v>85</v>
      </c>
      <c r="O1" s="217">
        <v>1</v>
      </c>
      <c r="P1" s="20" t="s">
        <v>62</v>
      </c>
      <c r="Q1" s="1">
        <f>VLOOKUP("EOL",$N$27:$O$65671,2,FALSE)</f>
        <v>6</v>
      </c>
    </row>
    <row r="2" spans="1:17" s="24" customFormat="1" ht="20.25" customHeight="1">
      <c r="A2" s="21"/>
      <c r="B2" s="22" t="s">
        <v>16</v>
      </c>
      <c r="C2" s="23" t="s">
        <v>18</v>
      </c>
      <c r="D2" s="23"/>
      <c r="E2" s="75"/>
      <c r="F2" s="55"/>
      <c r="G2" s="70"/>
      <c r="H2" s="2859" t="s">
        <v>2980</v>
      </c>
      <c r="I2" s="2860"/>
      <c r="J2" s="2860" t="s">
        <v>2981</v>
      </c>
      <c r="K2" s="2861"/>
      <c r="L2" s="2860" t="s">
        <v>25</v>
      </c>
      <c r="M2" s="2862"/>
      <c r="N2" s="2863" t="str">
        <f>IF(G53="",IF(O26=I26,H2,IF(O26=K26,J2,L2)),N29)</f>
        <v>A:㈱佐渡島</v>
      </c>
      <c r="O2" s="2864"/>
    </row>
    <row r="3" spans="1:17" s="24" customFormat="1" ht="20.25" customHeight="1" thickBot="1">
      <c r="A3" s="25" t="s">
        <v>26</v>
      </c>
      <c r="B3" s="26" t="s">
        <v>17</v>
      </c>
      <c r="C3" s="27" t="s">
        <v>17</v>
      </c>
      <c r="D3" s="27" t="s">
        <v>19</v>
      </c>
      <c r="E3" s="76" t="s">
        <v>20</v>
      </c>
      <c r="F3" s="56" t="s">
        <v>21</v>
      </c>
      <c r="G3" s="71" t="s">
        <v>22</v>
      </c>
      <c r="H3" s="467" t="s">
        <v>23</v>
      </c>
      <c r="I3" s="468" t="s">
        <v>24</v>
      </c>
      <c r="J3" s="469" t="s">
        <v>23</v>
      </c>
      <c r="K3" s="468" t="s">
        <v>24</v>
      </c>
      <c r="L3" s="469" t="s">
        <v>23</v>
      </c>
      <c r="M3" s="468" t="s">
        <v>24</v>
      </c>
      <c r="N3" s="467" t="s">
        <v>27</v>
      </c>
      <c r="O3" s="470" t="s">
        <v>28</v>
      </c>
    </row>
    <row r="4" spans="1:17" s="20" customFormat="1" ht="20.25" customHeight="1">
      <c r="A4" s="52"/>
      <c r="B4" s="84"/>
      <c r="C4" s="85"/>
      <c r="D4" s="67" t="s">
        <v>3301</v>
      </c>
      <c r="E4" s="77"/>
      <c r="F4" s="57"/>
      <c r="G4" s="72"/>
      <c r="H4" s="471"/>
      <c r="I4" s="472" t="str">
        <f t="shared" ref="I4:I25" si="0">IF(H4="","",ROUNDDOWN(H4*F4,0))</f>
        <v/>
      </c>
      <c r="J4" s="473"/>
      <c r="K4" s="472" t="str">
        <f t="shared" ref="K4:K25" si="1">IF(J4="","",ROUNDDOWN(J4*$F4,0))</f>
        <v/>
      </c>
      <c r="L4" s="473"/>
      <c r="M4" s="474" t="str">
        <f t="shared" ref="M4:M25" si="2">IF(L4="","",ROUNDDOWN(L4*$F4,0))</f>
        <v/>
      </c>
      <c r="N4" s="471" t="str">
        <f>IF(F4="","",INT(HLOOKUP(N2,H2:M25,3,FALSE)*O1))</f>
        <v/>
      </c>
      <c r="O4" s="475" t="str">
        <f>IF(N4="","",IF(N4&lt;10,INT(N4),IF(N4&lt;10000,ROUNDDOWN(N4,-1),ROUNDDOWN(N4,-2))))</f>
        <v/>
      </c>
    </row>
    <row r="5" spans="1:17" s="20" customFormat="1" ht="20.25" customHeight="1">
      <c r="A5" s="53">
        <v>300</v>
      </c>
      <c r="B5" s="86">
        <v>4</v>
      </c>
      <c r="C5" s="87">
        <v>4</v>
      </c>
      <c r="D5" s="2633" t="s">
        <v>3075</v>
      </c>
      <c r="E5" s="78" t="s">
        <v>3308</v>
      </c>
      <c r="F5" s="59">
        <v>1</v>
      </c>
      <c r="G5" s="73" t="s">
        <v>3303</v>
      </c>
      <c r="H5" s="476">
        <v>8120</v>
      </c>
      <c r="I5" s="477">
        <f t="shared" si="0"/>
        <v>8120</v>
      </c>
      <c r="J5" s="478"/>
      <c r="K5" s="477" t="str">
        <f t="shared" si="1"/>
        <v/>
      </c>
      <c r="L5" s="478"/>
      <c r="M5" s="479" t="str">
        <f t="shared" si="2"/>
        <v/>
      </c>
      <c r="N5" s="476">
        <f>IF(F5="","",INT(HLOOKUP(N2,H2:M25,4,FALSE)*O1))</f>
        <v>8120</v>
      </c>
      <c r="O5" s="480">
        <f t="shared" ref="O5:O25" si="3">IF(N5="","",IF(N5&lt;10,INT(N5),IF(N5&lt;10000,ROUNDDOWN(N5,-1),ROUNDDOWN(N5,-2))))</f>
        <v>8120</v>
      </c>
    </row>
    <row r="6" spans="1:17" s="20" customFormat="1" ht="20.25" customHeight="1">
      <c r="A6" s="53">
        <v>301</v>
      </c>
      <c r="B6" s="86">
        <v>4</v>
      </c>
      <c r="C6" s="87">
        <v>4</v>
      </c>
      <c r="D6" s="2633" t="s">
        <v>3075</v>
      </c>
      <c r="E6" s="78" t="s">
        <v>3309</v>
      </c>
      <c r="F6" s="59">
        <v>32</v>
      </c>
      <c r="G6" s="73" t="s">
        <v>3303</v>
      </c>
      <c r="H6" s="476">
        <v>10200</v>
      </c>
      <c r="I6" s="477">
        <f t="shared" si="0"/>
        <v>326400</v>
      </c>
      <c r="J6" s="478"/>
      <c r="K6" s="477" t="str">
        <f t="shared" si="1"/>
        <v/>
      </c>
      <c r="L6" s="478"/>
      <c r="M6" s="479" t="str">
        <f t="shared" si="2"/>
        <v/>
      </c>
      <c r="N6" s="476">
        <f>IF(F6="","",INT(HLOOKUP(N2,H2:M25,5,FALSE)*O1))</f>
        <v>10200</v>
      </c>
      <c r="O6" s="480">
        <f t="shared" si="3"/>
        <v>10200</v>
      </c>
    </row>
    <row r="7" spans="1:17" s="20" customFormat="1" ht="20.25" customHeight="1">
      <c r="A7" s="53">
        <v>302</v>
      </c>
      <c r="B7" s="86">
        <v>4</v>
      </c>
      <c r="C7" s="87">
        <v>4</v>
      </c>
      <c r="D7" s="2633" t="s">
        <v>3075</v>
      </c>
      <c r="E7" s="78" t="s">
        <v>3311</v>
      </c>
      <c r="F7" s="59">
        <v>2</v>
      </c>
      <c r="G7" s="73" t="s">
        <v>3303</v>
      </c>
      <c r="H7" s="476">
        <v>12350</v>
      </c>
      <c r="I7" s="477">
        <f t="shared" si="0"/>
        <v>24700</v>
      </c>
      <c r="J7" s="478"/>
      <c r="K7" s="477" t="str">
        <f t="shared" si="1"/>
        <v/>
      </c>
      <c r="L7" s="478"/>
      <c r="M7" s="479" t="str">
        <f t="shared" si="2"/>
        <v/>
      </c>
      <c r="N7" s="476">
        <f>IF(F7="","",INT(HLOOKUP(N2,H2:M25,6,FALSE)*O1))</f>
        <v>12350</v>
      </c>
      <c r="O7" s="480">
        <f t="shared" si="3"/>
        <v>12300</v>
      </c>
    </row>
    <row r="8" spans="1:17" s="20" customFormat="1" ht="20.25" customHeight="1">
      <c r="A8" s="53">
        <v>303</v>
      </c>
      <c r="B8" s="86">
        <v>4</v>
      </c>
      <c r="C8" s="87">
        <v>4</v>
      </c>
      <c r="D8" s="2633" t="s">
        <v>3075</v>
      </c>
      <c r="E8" s="78" t="s">
        <v>3313</v>
      </c>
      <c r="F8" s="59">
        <v>1</v>
      </c>
      <c r="G8" s="73" t="s">
        <v>3303</v>
      </c>
      <c r="H8" s="476">
        <v>20850</v>
      </c>
      <c r="I8" s="477">
        <f t="shared" si="0"/>
        <v>20850</v>
      </c>
      <c r="J8" s="478"/>
      <c r="K8" s="477" t="str">
        <f t="shared" si="1"/>
        <v/>
      </c>
      <c r="L8" s="478"/>
      <c r="M8" s="479" t="str">
        <f t="shared" si="2"/>
        <v/>
      </c>
      <c r="N8" s="476">
        <f>IF(F8="","",INT(HLOOKUP(N2,H2:M25,7,FALSE)*O1))</f>
        <v>20850</v>
      </c>
      <c r="O8" s="480">
        <f t="shared" si="3"/>
        <v>20800</v>
      </c>
    </row>
    <row r="9" spans="1:17" s="20" customFormat="1" ht="20.25" customHeight="1">
      <c r="A9" s="53">
        <v>304</v>
      </c>
      <c r="B9" s="86">
        <v>4</v>
      </c>
      <c r="C9" s="87">
        <v>4</v>
      </c>
      <c r="D9" s="2633" t="s">
        <v>3075</v>
      </c>
      <c r="E9" s="78" t="s">
        <v>3314</v>
      </c>
      <c r="F9" s="59">
        <v>32</v>
      </c>
      <c r="G9" s="73" t="s">
        <v>3303</v>
      </c>
      <c r="H9" s="476">
        <v>14300</v>
      </c>
      <c r="I9" s="477">
        <f t="shared" si="0"/>
        <v>457600</v>
      </c>
      <c r="J9" s="478"/>
      <c r="K9" s="477" t="str">
        <f t="shared" si="1"/>
        <v/>
      </c>
      <c r="L9" s="478"/>
      <c r="M9" s="479" t="str">
        <f t="shared" si="2"/>
        <v/>
      </c>
      <c r="N9" s="476">
        <f>IF(F9="","",INT(HLOOKUP(N2,H2:M25,8,FALSE)*O1))</f>
        <v>14300</v>
      </c>
      <c r="O9" s="480">
        <f t="shared" si="3"/>
        <v>14300</v>
      </c>
    </row>
    <row r="10" spans="1:17" s="20" customFormat="1" ht="20.25" customHeight="1">
      <c r="A10" s="53">
        <v>305</v>
      </c>
      <c r="B10" s="86">
        <v>4</v>
      </c>
      <c r="C10" s="87">
        <v>4</v>
      </c>
      <c r="D10" s="2633" t="s">
        <v>3075</v>
      </c>
      <c r="E10" s="78" t="s">
        <v>3316</v>
      </c>
      <c r="F10" s="59">
        <v>4</v>
      </c>
      <c r="G10" s="73" t="s">
        <v>3303</v>
      </c>
      <c r="H10" s="476">
        <v>14300</v>
      </c>
      <c r="I10" s="477">
        <f t="shared" si="0"/>
        <v>57200</v>
      </c>
      <c r="J10" s="478"/>
      <c r="K10" s="477" t="str">
        <f t="shared" si="1"/>
        <v/>
      </c>
      <c r="L10" s="478"/>
      <c r="M10" s="479" t="str">
        <f t="shared" si="2"/>
        <v/>
      </c>
      <c r="N10" s="476">
        <f>IF(F10="","",INT(HLOOKUP(N2,H2:M25,9,FALSE)*O1))</f>
        <v>14300</v>
      </c>
      <c r="O10" s="480">
        <f t="shared" si="3"/>
        <v>14300</v>
      </c>
    </row>
    <row r="11" spans="1:17" s="20" customFormat="1" ht="20.25" customHeight="1">
      <c r="A11" s="53"/>
      <c r="B11" s="86"/>
      <c r="C11" s="87"/>
      <c r="D11" s="68"/>
      <c r="E11" s="78"/>
      <c r="F11" s="59"/>
      <c r="G11" s="73"/>
      <c r="H11" s="476"/>
      <c r="I11" s="477" t="str">
        <f t="shared" si="0"/>
        <v/>
      </c>
      <c r="J11" s="478"/>
      <c r="K11" s="477" t="str">
        <f t="shared" si="1"/>
        <v/>
      </c>
      <c r="L11" s="478"/>
      <c r="M11" s="479" t="str">
        <f t="shared" si="2"/>
        <v/>
      </c>
      <c r="N11" s="476" t="str">
        <f>IF(F11="","",INT(HLOOKUP(N2,H2:M25,10,FALSE)*O1))</f>
        <v/>
      </c>
      <c r="O11" s="480" t="str">
        <f t="shared" si="3"/>
        <v/>
      </c>
    </row>
    <row r="12" spans="1:17" s="20" customFormat="1" ht="20.25" customHeight="1">
      <c r="A12" s="53"/>
      <c r="B12" s="86"/>
      <c r="C12" s="87"/>
      <c r="D12" s="68" t="s">
        <v>3333</v>
      </c>
      <c r="E12" s="78"/>
      <c r="F12" s="59"/>
      <c r="G12" s="73"/>
      <c r="H12" s="476"/>
      <c r="I12" s="477" t="str">
        <f t="shared" si="0"/>
        <v/>
      </c>
      <c r="J12" s="478"/>
      <c r="K12" s="477" t="str">
        <f t="shared" si="1"/>
        <v/>
      </c>
      <c r="L12" s="478"/>
      <c r="M12" s="479" t="str">
        <f t="shared" si="2"/>
        <v/>
      </c>
      <c r="N12" s="476" t="str">
        <f>IF(F12="","",INT(HLOOKUP(N2,H2:M25,11,FALSE)*O1))</f>
        <v/>
      </c>
      <c r="O12" s="480" t="str">
        <f t="shared" si="3"/>
        <v/>
      </c>
    </row>
    <row r="13" spans="1:17" s="20" customFormat="1" ht="20.25" customHeight="1">
      <c r="A13" s="53">
        <v>310</v>
      </c>
      <c r="B13" s="86">
        <v>4</v>
      </c>
      <c r="C13" s="87">
        <v>4</v>
      </c>
      <c r="D13" s="2633" t="s">
        <v>3075</v>
      </c>
      <c r="E13" s="78" t="s">
        <v>3308</v>
      </c>
      <c r="F13" s="59">
        <v>1</v>
      </c>
      <c r="G13" s="73" t="s">
        <v>3303</v>
      </c>
      <c r="H13" s="476">
        <v>8120</v>
      </c>
      <c r="I13" s="2638">
        <f t="shared" si="0"/>
        <v>8120</v>
      </c>
      <c r="J13" s="2639"/>
      <c r="K13" s="2638" t="str">
        <f t="shared" si="1"/>
        <v/>
      </c>
      <c r="L13" s="2639"/>
      <c r="M13" s="2640" t="str">
        <f t="shared" si="2"/>
        <v/>
      </c>
      <c r="N13" s="2637">
        <f>IF(F13="","",INT(HLOOKUP(N2,H2:M25,12,FALSE)*O1))</f>
        <v>8120</v>
      </c>
      <c r="O13" s="2641">
        <f t="shared" si="3"/>
        <v>8120</v>
      </c>
    </row>
    <row r="14" spans="1:17" s="20" customFormat="1" ht="20.25" customHeight="1">
      <c r="A14" s="53">
        <v>311</v>
      </c>
      <c r="B14" s="86">
        <v>4</v>
      </c>
      <c r="C14" s="87">
        <v>4</v>
      </c>
      <c r="D14" s="2633" t="s">
        <v>3075</v>
      </c>
      <c r="E14" s="78" t="s">
        <v>3335</v>
      </c>
      <c r="F14" s="59">
        <v>72</v>
      </c>
      <c r="G14" s="73" t="s">
        <v>3303</v>
      </c>
      <c r="H14" s="476">
        <v>9600</v>
      </c>
      <c r="I14" s="2638">
        <f t="shared" si="0"/>
        <v>691200</v>
      </c>
      <c r="J14" s="2639"/>
      <c r="K14" s="2638" t="str">
        <f t="shared" si="1"/>
        <v/>
      </c>
      <c r="L14" s="2639"/>
      <c r="M14" s="2640" t="str">
        <f t="shared" si="2"/>
        <v/>
      </c>
      <c r="N14" s="2637">
        <f>IF(F14="","",INT(HLOOKUP(N2,H2:M25,13,FALSE)*O1))</f>
        <v>9600</v>
      </c>
      <c r="O14" s="2641">
        <f t="shared" si="3"/>
        <v>9600</v>
      </c>
    </row>
    <row r="15" spans="1:17" s="20" customFormat="1" ht="20.25" customHeight="1">
      <c r="A15" s="53">
        <v>312</v>
      </c>
      <c r="B15" s="86">
        <v>4</v>
      </c>
      <c r="C15" s="87">
        <v>4</v>
      </c>
      <c r="D15" s="2633" t="s">
        <v>3075</v>
      </c>
      <c r="E15" s="78" t="s">
        <v>3337</v>
      </c>
      <c r="F15" s="59">
        <v>2</v>
      </c>
      <c r="G15" s="73" t="s">
        <v>3303</v>
      </c>
      <c r="H15" s="476">
        <v>10300</v>
      </c>
      <c r="I15" s="477">
        <f t="shared" si="0"/>
        <v>20600</v>
      </c>
      <c r="J15" s="478"/>
      <c r="K15" s="477" t="str">
        <f t="shared" si="1"/>
        <v/>
      </c>
      <c r="L15" s="478"/>
      <c r="M15" s="479" t="str">
        <f t="shared" si="2"/>
        <v/>
      </c>
      <c r="N15" s="476">
        <f>IF(F15="","",INT(HLOOKUP(N2,H2:M25,14,FALSE)*O1))</f>
        <v>10300</v>
      </c>
      <c r="O15" s="480">
        <f t="shared" si="3"/>
        <v>10300</v>
      </c>
    </row>
    <row r="16" spans="1:17" s="20" customFormat="1" ht="20.25" customHeight="1">
      <c r="A16" s="53">
        <v>313</v>
      </c>
      <c r="B16" s="86">
        <v>4</v>
      </c>
      <c r="C16" s="87">
        <v>4</v>
      </c>
      <c r="D16" s="2633" t="s">
        <v>3075</v>
      </c>
      <c r="E16" s="78" t="s">
        <v>3338</v>
      </c>
      <c r="F16" s="59">
        <v>2</v>
      </c>
      <c r="G16" s="73" t="s">
        <v>3303</v>
      </c>
      <c r="H16" s="476">
        <v>12350</v>
      </c>
      <c r="I16" s="2638">
        <f t="shared" si="0"/>
        <v>24700</v>
      </c>
      <c r="J16" s="2639"/>
      <c r="K16" s="2638" t="str">
        <f t="shared" si="1"/>
        <v/>
      </c>
      <c r="L16" s="2639"/>
      <c r="M16" s="2640" t="str">
        <f t="shared" si="2"/>
        <v/>
      </c>
      <c r="N16" s="2637">
        <f>IF(F16="","",INT(HLOOKUP(N2,H2:M25,15,FALSE)*O1))</f>
        <v>12350</v>
      </c>
      <c r="O16" s="2641">
        <f t="shared" si="3"/>
        <v>12300</v>
      </c>
    </row>
    <row r="17" spans="1:15" s="20" customFormat="1" ht="20.25" customHeight="1">
      <c r="A17" s="53">
        <v>314</v>
      </c>
      <c r="B17" s="86">
        <v>4</v>
      </c>
      <c r="C17" s="87">
        <v>4</v>
      </c>
      <c r="D17" s="2633" t="s">
        <v>3075</v>
      </c>
      <c r="E17" s="78" t="s">
        <v>3339</v>
      </c>
      <c r="F17" s="59">
        <v>1</v>
      </c>
      <c r="G17" s="73" t="s">
        <v>3303</v>
      </c>
      <c r="H17" s="476">
        <v>13450</v>
      </c>
      <c r="I17" s="2638">
        <f t="shared" si="0"/>
        <v>13450</v>
      </c>
      <c r="J17" s="2639"/>
      <c r="K17" s="2638" t="str">
        <f t="shared" si="1"/>
        <v/>
      </c>
      <c r="L17" s="2639"/>
      <c r="M17" s="2640" t="str">
        <f t="shared" si="2"/>
        <v/>
      </c>
      <c r="N17" s="2637">
        <f>IF(F17="","",INT(HLOOKUP(N2,H2:M25,16,FALSE)*O1))</f>
        <v>13450</v>
      </c>
      <c r="O17" s="2641">
        <f t="shared" si="3"/>
        <v>13400</v>
      </c>
    </row>
    <row r="18" spans="1:15" s="20" customFormat="1" ht="20.25" customHeight="1">
      <c r="A18" s="53">
        <v>315</v>
      </c>
      <c r="B18" s="86">
        <v>4</v>
      </c>
      <c r="C18" s="87">
        <v>4</v>
      </c>
      <c r="D18" s="2633" t="s">
        <v>3075</v>
      </c>
      <c r="E18" s="78" t="s">
        <v>3316</v>
      </c>
      <c r="F18" s="59">
        <v>2</v>
      </c>
      <c r="G18" s="73" t="s">
        <v>3303</v>
      </c>
      <c r="H18" s="476">
        <v>15050</v>
      </c>
      <c r="I18" s="2638">
        <f t="shared" si="0"/>
        <v>30100</v>
      </c>
      <c r="J18" s="2639"/>
      <c r="K18" s="2638" t="str">
        <f t="shared" si="1"/>
        <v/>
      </c>
      <c r="L18" s="2639"/>
      <c r="M18" s="2640" t="str">
        <f t="shared" si="2"/>
        <v/>
      </c>
      <c r="N18" s="2637">
        <f>IF(F18="","",INT(HLOOKUP(N2,H2:M25,17,FALSE)*O1))</f>
        <v>15050</v>
      </c>
      <c r="O18" s="2641">
        <f t="shared" si="3"/>
        <v>15000</v>
      </c>
    </row>
    <row r="19" spans="1:15" s="20" customFormat="1" ht="20.25" customHeight="1">
      <c r="A19" s="53">
        <v>316</v>
      </c>
      <c r="B19" s="86">
        <v>4</v>
      </c>
      <c r="C19" s="87">
        <v>4</v>
      </c>
      <c r="D19" s="2633" t="s">
        <v>3075</v>
      </c>
      <c r="E19" s="78" t="s">
        <v>3341</v>
      </c>
      <c r="F19" s="59">
        <v>12</v>
      </c>
      <c r="G19" s="73" t="s">
        <v>3303</v>
      </c>
      <c r="H19" s="476">
        <v>15580</v>
      </c>
      <c r="I19" s="2638">
        <f t="shared" si="0"/>
        <v>186960</v>
      </c>
      <c r="J19" s="2639"/>
      <c r="K19" s="2638" t="str">
        <f t="shared" si="1"/>
        <v/>
      </c>
      <c r="L19" s="2639"/>
      <c r="M19" s="2640" t="str">
        <f t="shared" si="2"/>
        <v/>
      </c>
      <c r="N19" s="2637">
        <f>IF(F19="","",INT(HLOOKUP(N2,H2:M25,18,FALSE)*O1))</f>
        <v>15580</v>
      </c>
      <c r="O19" s="2641">
        <f t="shared" si="3"/>
        <v>15500</v>
      </c>
    </row>
    <row r="20" spans="1:15" s="20" customFormat="1" ht="20.25" customHeight="1">
      <c r="A20" s="53"/>
      <c r="B20" s="86"/>
      <c r="C20" s="87"/>
      <c r="D20" s="68"/>
      <c r="E20" s="78"/>
      <c r="F20" s="59"/>
      <c r="G20" s="73"/>
      <c r="H20" s="476"/>
      <c r="I20" s="477" t="str">
        <f t="shared" si="0"/>
        <v/>
      </c>
      <c r="J20" s="478"/>
      <c r="K20" s="477" t="str">
        <f t="shared" si="1"/>
        <v/>
      </c>
      <c r="L20" s="478"/>
      <c r="M20" s="479" t="str">
        <f t="shared" si="2"/>
        <v/>
      </c>
      <c r="N20" s="476" t="str">
        <f>IF(F20="","",INT(HLOOKUP(N2,H2:M25,19,FALSE)*O1))</f>
        <v/>
      </c>
      <c r="O20" s="480" t="str">
        <f t="shared" si="3"/>
        <v/>
      </c>
    </row>
    <row r="21" spans="1:15" s="20" customFormat="1" ht="20.25" customHeight="1">
      <c r="A21" s="53"/>
      <c r="B21" s="86"/>
      <c r="C21" s="87"/>
      <c r="D21" s="68"/>
      <c r="E21" s="78"/>
      <c r="F21" s="59"/>
      <c r="G21" s="73"/>
      <c r="H21" s="476"/>
      <c r="I21" s="477" t="str">
        <f t="shared" si="0"/>
        <v/>
      </c>
      <c r="J21" s="478"/>
      <c r="K21" s="477" t="str">
        <f t="shared" si="1"/>
        <v/>
      </c>
      <c r="L21" s="478"/>
      <c r="M21" s="479" t="str">
        <f t="shared" si="2"/>
        <v/>
      </c>
      <c r="N21" s="476" t="str">
        <f>IF(F21="","",INT(HLOOKUP(N2,H2:M25,20,FALSE)*O1))</f>
        <v/>
      </c>
      <c r="O21" s="480" t="str">
        <f t="shared" si="3"/>
        <v/>
      </c>
    </row>
    <row r="22" spans="1:15" s="20" customFormat="1" ht="20.25" customHeight="1">
      <c r="A22" s="53"/>
      <c r="B22" s="86"/>
      <c r="C22" s="87"/>
      <c r="D22" s="68"/>
      <c r="E22" s="78"/>
      <c r="F22" s="59"/>
      <c r="G22" s="73"/>
      <c r="H22" s="476"/>
      <c r="I22" s="477" t="str">
        <f t="shared" si="0"/>
        <v/>
      </c>
      <c r="J22" s="478"/>
      <c r="K22" s="477" t="str">
        <f t="shared" si="1"/>
        <v/>
      </c>
      <c r="L22" s="478"/>
      <c r="M22" s="479" t="str">
        <f t="shared" si="2"/>
        <v/>
      </c>
      <c r="N22" s="476" t="str">
        <f>IF(F22="","",INT(HLOOKUP(N2,H2:M25,21,FALSE)*O1))</f>
        <v/>
      </c>
      <c r="O22" s="480" t="str">
        <f t="shared" si="3"/>
        <v/>
      </c>
    </row>
    <row r="23" spans="1:15" s="20" customFormat="1" ht="20.25" customHeight="1">
      <c r="A23" s="53"/>
      <c r="B23" s="86"/>
      <c r="C23" s="87"/>
      <c r="D23" s="68"/>
      <c r="E23" s="78"/>
      <c r="F23" s="59"/>
      <c r="G23" s="73"/>
      <c r="H23" s="476"/>
      <c r="I23" s="477" t="str">
        <f t="shared" si="0"/>
        <v/>
      </c>
      <c r="J23" s="478"/>
      <c r="K23" s="477" t="str">
        <f t="shared" si="1"/>
        <v/>
      </c>
      <c r="L23" s="478"/>
      <c r="M23" s="479" t="str">
        <f t="shared" si="2"/>
        <v/>
      </c>
      <c r="N23" s="476" t="str">
        <f>IF(F23="","",INT(HLOOKUP(N2,H2:M25,22,FALSE)*O1))</f>
        <v/>
      </c>
      <c r="O23" s="480" t="str">
        <f t="shared" si="3"/>
        <v/>
      </c>
    </row>
    <row r="24" spans="1:15" s="20" customFormat="1" ht="20.25" customHeight="1">
      <c r="A24" s="53"/>
      <c r="B24" s="86"/>
      <c r="C24" s="87"/>
      <c r="D24" s="68"/>
      <c r="E24" s="78"/>
      <c r="F24" s="59"/>
      <c r="G24" s="73"/>
      <c r="H24" s="476"/>
      <c r="I24" s="477" t="str">
        <f t="shared" si="0"/>
        <v/>
      </c>
      <c r="J24" s="478"/>
      <c r="K24" s="477" t="str">
        <f t="shared" si="1"/>
        <v/>
      </c>
      <c r="L24" s="478"/>
      <c r="M24" s="479" t="str">
        <f t="shared" si="2"/>
        <v/>
      </c>
      <c r="N24" s="476" t="str">
        <f>IF(F24="","",INT(HLOOKUP(N2,H2:M25,23,FALSE)*O1))</f>
        <v/>
      </c>
      <c r="O24" s="480" t="str">
        <f t="shared" si="3"/>
        <v/>
      </c>
    </row>
    <row r="25" spans="1:15" s="20" customFormat="1" ht="20.25" customHeight="1" thickBot="1">
      <c r="A25" s="54"/>
      <c r="B25" s="88"/>
      <c r="C25" s="89"/>
      <c r="D25" s="69"/>
      <c r="E25" s="79"/>
      <c r="F25" s="60"/>
      <c r="G25" s="74"/>
      <c r="H25" s="481"/>
      <c r="I25" s="482" t="str">
        <f t="shared" si="0"/>
        <v/>
      </c>
      <c r="J25" s="483"/>
      <c r="K25" s="482" t="str">
        <f t="shared" si="1"/>
        <v/>
      </c>
      <c r="L25" s="483"/>
      <c r="M25" s="484" t="str">
        <f t="shared" si="2"/>
        <v/>
      </c>
      <c r="N25" s="481" t="str">
        <f>IF(F25="","",INT(HLOOKUP(N2,H2:M25,24,FALSE)*O1))</f>
        <v/>
      </c>
      <c r="O25" s="485" t="str">
        <f t="shared" si="3"/>
        <v/>
      </c>
    </row>
    <row r="26" spans="1:15" s="20" customFormat="1" ht="20.25" customHeight="1" thickTop="1" thickBot="1">
      <c r="A26" s="28"/>
      <c r="B26" s="29"/>
      <c r="C26" s="29"/>
      <c r="D26" s="30" t="str">
        <f>IF(G26="","合      計","")</f>
        <v>合      計</v>
      </c>
      <c r="E26" s="31" t="s">
        <v>61</v>
      </c>
      <c r="F26" s="31"/>
      <c r="G26" s="51"/>
      <c r="H26" s="486"/>
      <c r="I26" s="487">
        <f>IF($G26="",IF(SUM(I4:I25)=0,"",SUM(I4:I25)),IF(#REF!="","",SUM(I4:I25)+#REF!))</f>
        <v>1870000</v>
      </c>
      <c r="J26" s="488"/>
      <c r="K26" s="487" t="str">
        <f>IF(G26="",IF(SUM(K4:K25)=0,"",SUM(K4:K25)),IF(#REF!="","",SUM(K4:K25)+#REF!))</f>
        <v/>
      </c>
      <c r="L26" s="488"/>
      <c r="M26" s="489" t="str">
        <f>IF(G26="",IF(SUM(M4:M25)=0,"",SUM(M4:M25)),IF(#REF!="","",SUM(M4:M25)+#REF!))</f>
        <v/>
      </c>
      <c r="N26" s="490" t="s">
        <v>29</v>
      </c>
      <c r="O26" s="491" t="str">
        <f>IF(G53="",MIN(I26,K26,M26),"")</f>
        <v/>
      </c>
    </row>
    <row r="27" spans="1:15" s="20" customFormat="1" ht="20.25" customHeight="1">
      <c r="A27" s="24"/>
      <c r="B27" s="24"/>
      <c r="C27" s="24"/>
      <c r="G27" s="24"/>
      <c r="H27" s="32"/>
      <c r="I27" s="32"/>
      <c r="J27" s="32"/>
      <c r="K27" s="32"/>
      <c r="L27" s="32"/>
      <c r="M27" s="32"/>
      <c r="N27" s="20" t="str">
        <f>IF(B29="","EOL","")</f>
        <v/>
      </c>
      <c r="O27" s="32">
        <v>1</v>
      </c>
    </row>
    <row r="28" spans="1:15" s="20" customFormat="1" ht="20.25" customHeight="1" thickBot="1">
      <c r="A28" s="2858" t="s">
        <v>3304</v>
      </c>
      <c r="B28" s="2858"/>
      <c r="C28" s="2858"/>
      <c r="D28" s="2858"/>
      <c r="E28" s="2858"/>
      <c r="F28" s="2858"/>
      <c r="G28" s="2858"/>
      <c r="H28" s="2858"/>
      <c r="I28" s="2858"/>
      <c r="J28" s="2858"/>
      <c r="K28" s="2858"/>
      <c r="L28" s="2858"/>
      <c r="M28" s="2858"/>
      <c r="N28" s="24" t="s">
        <v>85</v>
      </c>
      <c r="O28" s="217">
        <f>+O1</f>
        <v>1</v>
      </c>
    </row>
    <row r="29" spans="1:15" s="24" customFormat="1" ht="20.25" customHeight="1">
      <c r="A29" s="21"/>
      <c r="B29" s="22" t="s">
        <v>16</v>
      </c>
      <c r="C29" s="23" t="s">
        <v>18</v>
      </c>
      <c r="D29" s="23"/>
      <c r="E29" s="75"/>
      <c r="F29" s="55"/>
      <c r="G29" s="70"/>
      <c r="H29" s="2859" t="s">
        <v>2980</v>
      </c>
      <c r="I29" s="2860"/>
      <c r="J29" s="2860" t="s">
        <v>237</v>
      </c>
      <c r="K29" s="2861"/>
      <c r="L29" s="2860" t="s">
        <v>25</v>
      </c>
      <c r="M29" s="2862"/>
      <c r="N29" s="2863" t="str">
        <f>IF(G80="",IF(O53=I53,H29,IF(O53=K53,J29,L29)),N56)</f>
        <v>A:㈱佐渡島</v>
      </c>
      <c r="O29" s="2864"/>
    </row>
    <row r="30" spans="1:15" s="24" customFormat="1" ht="20.25" customHeight="1" thickBot="1">
      <c r="A30" s="25" t="s">
        <v>26</v>
      </c>
      <c r="B30" s="26" t="s">
        <v>17</v>
      </c>
      <c r="C30" s="27" t="s">
        <v>17</v>
      </c>
      <c r="D30" s="27" t="s">
        <v>19</v>
      </c>
      <c r="E30" s="76" t="s">
        <v>20</v>
      </c>
      <c r="F30" s="56" t="s">
        <v>21</v>
      </c>
      <c r="G30" s="71" t="s">
        <v>22</v>
      </c>
      <c r="H30" s="467" t="s">
        <v>23</v>
      </c>
      <c r="I30" s="468" t="s">
        <v>24</v>
      </c>
      <c r="J30" s="469" t="s">
        <v>23</v>
      </c>
      <c r="K30" s="468" t="s">
        <v>24</v>
      </c>
      <c r="L30" s="469" t="s">
        <v>23</v>
      </c>
      <c r="M30" s="468" t="s">
        <v>24</v>
      </c>
      <c r="N30" s="467" t="s">
        <v>27</v>
      </c>
      <c r="O30" s="470" t="s">
        <v>28</v>
      </c>
    </row>
    <row r="31" spans="1:15" s="20" customFormat="1" ht="20.25" customHeight="1">
      <c r="A31" s="52"/>
      <c r="B31" s="84"/>
      <c r="C31" s="85"/>
      <c r="D31" s="67"/>
      <c r="E31" s="77"/>
      <c r="F31" s="57"/>
      <c r="G31" s="72"/>
      <c r="H31" s="471"/>
      <c r="I31" s="472" t="str">
        <f t="shared" ref="I31:I52" si="4">IF(H31="","",ROUNDDOWN(H31*F31,0))</f>
        <v/>
      </c>
      <c r="J31" s="473"/>
      <c r="K31" s="472" t="str">
        <f t="shared" ref="K31:K52" si="5">IF(J31="","",ROUNDDOWN(J31*$F31,0))</f>
        <v/>
      </c>
      <c r="L31" s="473"/>
      <c r="M31" s="474" t="str">
        <f t="shared" ref="M31:M52" si="6">IF(L31="","",ROUNDDOWN(L31*$F31,0))</f>
        <v/>
      </c>
      <c r="N31" s="471" t="str">
        <f>IF(F31="","",INT(HLOOKUP(N29,H29:M52,3,FALSE)*O28))</f>
        <v/>
      </c>
      <c r="O31" s="475" t="str">
        <f t="shared" ref="O31:O52" si="7">IF(N31="","",IF(N31&lt;10,INT(N31),IF(N31&lt;10000,ROUNDDOWN(N31,-1),ROUNDDOWN(N31,-2))))</f>
        <v/>
      </c>
    </row>
    <row r="32" spans="1:15" s="20" customFormat="1" ht="20.25" customHeight="1">
      <c r="A32" s="53"/>
      <c r="B32" s="86"/>
      <c r="C32" s="87"/>
      <c r="D32" s="68"/>
      <c r="E32" s="78"/>
      <c r="F32" s="59"/>
      <c r="G32" s="73"/>
      <c r="H32" s="476"/>
      <c r="I32" s="477" t="str">
        <f t="shared" si="4"/>
        <v/>
      </c>
      <c r="J32" s="478"/>
      <c r="K32" s="477" t="str">
        <f t="shared" si="5"/>
        <v/>
      </c>
      <c r="L32" s="478"/>
      <c r="M32" s="479" t="str">
        <f t="shared" si="6"/>
        <v/>
      </c>
      <c r="N32" s="476" t="str">
        <f>IF(F32="","",INT(HLOOKUP(N29,H29:M52,4,FALSE)*O28))</f>
        <v/>
      </c>
      <c r="O32" s="480" t="str">
        <f t="shared" si="7"/>
        <v/>
      </c>
    </row>
    <row r="33" spans="1:15" s="20" customFormat="1" ht="20.25" customHeight="1">
      <c r="A33" s="2630">
        <v>807</v>
      </c>
      <c r="B33" s="2631">
        <v>4</v>
      </c>
      <c r="C33" s="2632">
        <v>4</v>
      </c>
      <c r="D33" s="2633" t="s">
        <v>3076</v>
      </c>
      <c r="E33" s="2634" t="s">
        <v>3350</v>
      </c>
      <c r="F33" s="2635">
        <v>1</v>
      </c>
      <c r="G33" s="2636" t="s">
        <v>113</v>
      </c>
      <c r="H33" s="2637">
        <v>192000</v>
      </c>
      <c r="I33" s="477">
        <f t="shared" si="4"/>
        <v>192000</v>
      </c>
      <c r="J33" s="478"/>
      <c r="K33" s="477" t="str">
        <f t="shared" si="5"/>
        <v/>
      </c>
      <c r="L33" s="478"/>
      <c r="M33" s="479" t="str">
        <f t="shared" si="6"/>
        <v/>
      </c>
      <c r="N33" s="476">
        <f>IF(F33="","",INT(HLOOKUP(N29,H29:M52,5,FALSE)*O28))</f>
        <v>192000</v>
      </c>
      <c r="O33" s="480">
        <f t="shared" si="7"/>
        <v>192000</v>
      </c>
    </row>
    <row r="34" spans="1:15" s="20" customFormat="1" ht="20.25" customHeight="1">
      <c r="A34" s="2630">
        <v>808</v>
      </c>
      <c r="B34" s="2631">
        <v>4</v>
      </c>
      <c r="C34" s="2632">
        <v>4</v>
      </c>
      <c r="D34" s="2633" t="s">
        <v>3077</v>
      </c>
      <c r="E34" s="2634" t="s">
        <v>3351</v>
      </c>
      <c r="F34" s="2635">
        <v>1</v>
      </c>
      <c r="G34" s="2636" t="s">
        <v>113</v>
      </c>
      <c r="H34" s="2637">
        <v>392000</v>
      </c>
      <c r="I34" s="477">
        <f t="shared" si="4"/>
        <v>392000</v>
      </c>
      <c r="J34" s="478"/>
      <c r="K34" s="477" t="str">
        <f t="shared" si="5"/>
        <v/>
      </c>
      <c r="L34" s="478"/>
      <c r="M34" s="479" t="str">
        <f t="shared" si="6"/>
        <v/>
      </c>
      <c r="N34" s="476">
        <f>IF(F34="","",INT(HLOOKUP(N29,H29:M52,6,FALSE)*O28))</f>
        <v>392000</v>
      </c>
      <c r="O34" s="480">
        <f t="shared" si="7"/>
        <v>392000</v>
      </c>
    </row>
    <row r="35" spans="1:15" s="20" customFormat="1" ht="20.25" customHeight="1">
      <c r="A35" s="2630">
        <v>809</v>
      </c>
      <c r="B35" s="2631">
        <v>4</v>
      </c>
      <c r="C35" s="2632">
        <v>4</v>
      </c>
      <c r="D35" s="2633" t="s">
        <v>3078</v>
      </c>
      <c r="E35" s="2634" t="s">
        <v>3352</v>
      </c>
      <c r="F35" s="2635">
        <v>1</v>
      </c>
      <c r="G35" s="2636" t="s">
        <v>113</v>
      </c>
      <c r="H35" s="2637">
        <v>359000</v>
      </c>
      <c r="I35" s="477">
        <f t="shared" si="4"/>
        <v>359000</v>
      </c>
      <c r="J35" s="478"/>
      <c r="K35" s="477" t="str">
        <f t="shared" si="5"/>
        <v/>
      </c>
      <c r="L35" s="478"/>
      <c r="M35" s="479" t="str">
        <f t="shared" si="6"/>
        <v/>
      </c>
      <c r="N35" s="476">
        <f>IF(F35="","",INT(HLOOKUP(N29,H29:M52,7,FALSE)*O28))</f>
        <v>359000</v>
      </c>
      <c r="O35" s="480">
        <f t="shared" si="7"/>
        <v>359000</v>
      </c>
    </row>
    <row r="36" spans="1:15" s="20" customFormat="1" ht="20.25" customHeight="1">
      <c r="A36" s="2630">
        <v>810</v>
      </c>
      <c r="B36" s="2631">
        <v>4</v>
      </c>
      <c r="C36" s="2632">
        <v>4</v>
      </c>
      <c r="D36" s="2633" t="s">
        <v>3079</v>
      </c>
      <c r="E36" s="2634" t="s">
        <v>3353</v>
      </c>
      <c r="F36" s="2635">
        <v>1</v>
      </c>
      <c r="G36" s="2636" t="s">
        <v>113</v>
      </c>
      <c r="H36" s="2637">
        <v>251000</v>
      </c>
      <c r="I36" s="477">
        <f t="shared" si="4"/>
        <v>251000</v>
      </c>
      <c r="J36" s="478"/>
      <c r="K36" s="477" t="str">
        <f t="shared" si="5"/>
        <v/>
      </c>
      <c r="L36" s="478"/>
      <c r="M36" s="479" t="str">
        <f t="shared" si="6"/>
        <v/>
      </c>
      <c r="N36" s="476">
        <f>IF(F36="","",INT(HLOOKUP(N29,H29:M52,8,FALSE)*O28))</f>
        <v>251000</v>
      </c>
      <c r="O36" s="480">
        <f t="shared" si="7"/>
        <v>251000</v>
      </c>
    </row>
    <row r="37" spans="1:15" s="20" customFormat="1" ht="20.25" customHeight="1">
      <c r="A37" s="53"/>
      <c r="B37" s="86"/>
      <c r="C37" s="87"/>
      <c r="D37" s="68"/>
      <c r="E37" s="78"/>
      <c r="F37" s="59"/>
      <c r="G37" s="73"/>
      <c r="H37" s="476"/>
      <c r="I37" s="477" t="str">
        <f t="shared" si="4"/>
        <v/>
      </c>
      <c r="J37" s="478"/>
      <c r="K37" s="477" t="str">
        <f t="shared" si="5"/>
        <v/>
      </c>
      <c r="L37" s="478"/>
      <c r="M37" s="479" t="str">
        <f t="shared" si="6"/>
        <v/>
      </c>
      <c r="N37" s="476" t="str">
        <f>IF(F37="","",INT(HLOOKUP(N29,H29:M52,9,FALSE)*O28))</f>
        <v/>
      </c>
      <c r="O37" s="480" t="str">
        <f t="shared" si="7"/>
        <v/>
      </c>
    </row>
    <row r="38" spans="1:15" s="20" customFormat="1" ht="20.25" customHeight="1">
      <c r="A38" s="53"/>
      <c r="B38" s="86"/>
      <c r="C38" s="87"/>
      <c r="D38" s="68"/>
      <c r="E38" s="78"/>
      <c r="F38" s="59"/>
      <c r="G38" s="73"/>
      <c r="H38" s="476"/>
      <c r="I38" s="477" t="str">
        <f t="shared" si="4"/>
        <v/>
      </c>
      <c r="J38" s="478"/>
      <c r="K38" s="477" t="str">
        <f t="shared" si="5"/>
        <v/>
      </c>
      <c r="L38" s="478"/>
      <c r="M38" s="479" t="str">
        <f t="shared" si="6"/>
        <v/>
      </c>
      <c r="N38" s="476" t="str">
        <f>IF(F38="","",INT(HLOOKUP(N29,H29:M52,10,FALSE)*O28))</f>
        <v/>
      </c>
      <c r="O38" s="480" t="str">
        <f t="shared" si="7"/>
        <v/>
      </c>
    </row>
    <row r="39" spans="1:15" s="20" customFormat="1" ht="20.25" customHeight="1">
      <c r="A39" s="53"/>
      <c r="B39" s="86"/>
      <c r="C39" s="87"/>
      <c r="D39" s="68"/>
      <c r="E39" s="78"/>
      <c r="F39" s="59"/>
      <c r="G39" s="73"/>
      <c r="H39" s="476"/>
      <c r="I39" s="477" t="str">
        <f t="shared" si="4"/>
        <v/>
      </c>
      <c r="J39" s="478"/>
      <c r="K39" s="477" t="str">
        <f t="shared" si="5"/>
        <v/>
      </c>
      <c r="L39" s="478"/>
      <c r="M39" s="479" t="str">
        <f t="shared" si="6"/>
        <v/>
      </c>
      <c r="N39" s="476" t="str">
        <f>IF(F39="","",INT(HLOOKUP(N29,H29:M52,11,FALSE)*O28))</f>
        <v/>
      </c>
      <c r="O39" s="480" t="str">
        <f t="shared" si="7"/>
        <v/>
      </c>
    </row>
    <row r="40" spans="1:15" s="20" customFormat="1" ht="20.25" customHeight="1">
      <c r="A40" s="53"/>
      <c r="B40" s="86"/>
      <c r="C40" s="87"/>
      <c r="D40" s="68"/>
      <c r="E40" s="78"/>
      <c r="F40" s="59"/>
      <c r="G40" s="73"/>
      <c r="H40" s="476"/>
      <c r="I40" s="477" t="str">
        <f t="shared" si="4"/>
        <v/>
      </c>
      <c r="J40" s="478"/>
      <c r="K40" s="477" t="str">
        <f t="shared" si="5"/>
        <v/>
      </c>
      <c r="L40" s="478"/>
      <c r="M40" s="479" t="str">
        <f t="shared" si="6"/>
        <v/>
      </c>
      <c r="N40" s="476" t="str">
        <f>IF(F40="","",INT(HLOOKUP(N29,H29:M52,12,FALSE)*O28))</f>
        <v/>
      </c>
      <c r="O40" s="480" t="str">
        <f t="shared" si="7"/>
        <v/>
      </c>
    </row>
    <row r="41" spans="1:15" s="20" customFormat="1" ht="20.25" customHeight="1">
      <c r="A41" s="53"/>
      <c r="B41" s="86"/>
      <c r="C41" s="87"/>
      <c r="D41" s="68"/>
      <c r="E41" s="78"/>
      <c r="F41" s="59"/>
      <c r="G41" s="73"/>
      <c r="H41" s="476"/>
      <c r="I41" s="477" t="str">
        <f t="shared" si="4"/>
        <v/>
      </c>
      <c r="J41" s="478"/>
      <c r="K41" s="477" t="str">
        <f t="shared" si="5"/>
        <v/>
      </c>
      <c r="L41" s="478"/>
      <c r="M41" s="479" t="str">
        <f t="shared" si="6"/>
        <v/>
      </c>
      <c r="N41" s="476" t="str">
        <f>IF(F41="","",INT(HLOOKUP(N29,H29:M52,13,FALSE)*O28))</f>
        <v/>
      </c>
      <c r="O41" s="480" t="str">
        <f t="shared" si="7"/>
        <v/>
      </c>
    </row>
    <row r="42" spans="1:15" s="20" customFormat="1" ht="20.25" customHeight="1">
      <c r="A42" s="53"/>
      <c r="B42" s="86"/>
      <c r="C42" s="87"/>
      <c r="D42" s="68"/>
      <c r="E42" s="78"/>
      <c r="F42" s="59"/>
      <c r="G42" s="73"/>
      <c r="H42" s="476"/>
      <c r="I42" s="477" t="str">
        <f t="shared" si="4"/>
        <v/>
      </c>
      <c r="J42" s="478"/>
      <c r="K42" s="477" t="str">
        <f t="shared" si="5"/>
        <v/>
      </c>
      <c r="L42" s="478"/>
      <c r="M42" s="479" t="str">
        <f t="shared" si="6"/>
        <v/>
      </c>
      <c r="N42" s="476" t="str">
        <f>IF(F42="","",INT(HLOOKUP(N29,H29:M52,14,FALSE)*O28))</f>
        <v/>
      </c>
      <c r="O42" s="480" t="str">
        <f t="shared" si="7"/>
        <v/>
      </c>
    </row>
    <row r="43" spans="1:15" s="20" customFormat="1" ht="20.25" customHeight="1">
      <c r="A43" s="53"/>
      <c r="B43" s="86"/>
      <c r="C43" s="87"/>
      <c r="D43" s="68"/>
      <c r="E43" s="78"/>
      <c r="F43" s="59"/>
      <c r="G43" s="73"/>
      <c r="H43" s="476"/>
      <c r="I43" s="477" t="str">
        <f t="shared" si="4"/>
        <v/>
      </c>
      <c r="J43" s="478"/>
      <c r="K43" s="477" t="str">
        <f t="shared" si="5"/>
        <v/>
      </c>
      <c r="L43" s="478"/>
      <c r="M43" s="479" t="str">
        <f t="shared" si="6"/>
        <v/>
      </c>
      <c r="N43" s="476" t="str">
        <f>IF(F43="","",INT(HLOOKUP(N29,H29:M52,15,FALSE)*O28))</f>
        <v/>
      </c>
      <c r="O43" s="480" t="str">
        <f t="shared" si="7"/>
        <v/>
      </c>
    </row>
    <row r="44" spans="1:15" s="20" customFormat="1" ht="20.25" customHeight="1">
      <c r="A44" s="53"/>
      <c r="B44" s="86"/>
      <c r="C44" s="87"/>
      <c r="D44" s="68"/>
      <c r="E44" s="78"/>
      <c r="F44" s="59"/>
      <c r="G44" s="73"/>
      <c r="H44" s="476"/>
      <c r="I44" s="477" t="str">
        <f t="shared" si="4"/>
        <v/>
      </c>
      <c r="J44" s="478"/>
      <c r="K44" s="477" t="str">
        <f t="shared" si="5"/>
        <v/>
      </c>
      <c r="L44" s="478"/>
      <c r="M44" s="479" t="str">
        <f t="shared" si="6"/>
        <v/>
      </c>
      <c r="N44" s="476" t="str">
        <f>IF(F44="","",INT(HLOOKUP(N29,H29:M52,16,FALSE)*O28))</f>
        <v/>
      </c>
      <c r="O44" s="480" t="str">
        <f t="shared" si="7"/>
        <v/>
      </c>
    </row>
    <row r="45" spans="1:15" s="20" customFormat="1" ht="20.25" customHeight="1">
      <c r="A45" s="53"/>
      <c r="B45" s="86"/>
      <c r="C45" s="87"/>
      <c r="D45" s="68"/>
      <c r="E45" s="78"/>
      <c r="F45" s="59"/>
      <c r="G45" s="73"/>
      <c r="H45" s="476"/>
      <c r="I45" s="477" t="str">
        <f t="shared" si="4"/>
        <v/>
      </c>
      <c r="J45" s="478"/>
      <c r="K45" s="477" t="str">
        <f t="shared" si="5"/>
        <v/>
      </c>
      <c r="L45" s="478"/>
      <c r="M45" s="479" t="str">
        <f t="shared" si="6"/>
        <v/>
      </c>
      <c r="N45" s="476" t="str">
        <f>IF(F45="","",INT(HLOOKUP(N29,H29:M52,17,FALSE)*O28))</f>
        <v/>
      </c>
      <c r="O45" s="480" t="str">
        <f t="shared" si="7"/>
        <v/>
      </c>
    </row>
    <row r="46" spans="1:15" s="20" customFormat="1" ht="20.25" customHeight="1">
      <c r="A46" s="53"/>
      <c r="B46" s="86"/>
      <c r="C46" s="87"/>
      <c r="D46" s="68"/>
      <c r="E46" s="78"/>
      <c r="F46" s="59"/>
      <c r="G46" s="73"/>
      <c r="H46" s="476"/>
      <c r="I46" s="477" t="str">
        <f t="shared" si="4"/>
        <v/>
      </c>
      <c r="J46" s="478"/>
      <c r="K46" s="477" t="str">
        <f t="shared" si="5"/>
        <v/>
      </c>
      <c r="L46" s="478"/>
      <c r="M46" s="479" t="str">
        <f t="shared" si="6"/>
        <v/>
      </c>
      <c r="N46" s="476" t="str">
        <f>IF(F46="","",INT(HLOOKUP(N29,H29:M52,18,FALSE)*O28))</f>
        <v/>
      </c>
      <c r="O46" s="480" t="str">
        <f t="shared" si="7"/>
        <v/>
      </c>
    </row>
    <row r="47" spans="1:15" s="20" customFormat="1" ht="20.25" customHeight="1">
      <c r="A47" s="53"/>
      <c r="B47" s="86"/>
      <c r="C47" s="87"/>
      <c r="D47" s="68"/>
      <c r="E47" s="78"/>
      <c r="F47" s="59"/>
      <c r="G47" s="73"/>
      <c r="H47" s="476"/>
      <c r="I47" s="477" t="str">
        <f t="shared" si="4"/>
        <v/>
      </c>
      <c r="J47" s="478"/>
      <c r="K47" s="477" t="str">
        <f t="shared" si="5"/>
        <v/>
      </c>
      <c r="L47" s="478"/>
      <c r="M47" s="479" t="str">
        <f t="shared" si="6"/>
        <v/>
      </c>
      <c r="N47" s="476" t="str">
        <f>IF(F47="","",INT(HLOOKUP(N29,H29:M52,19,FALSE)*O28))</f>
        <v/>
      </c>
      <c r="O47" s="480" t="str">
        <f t="shared" si="7"/>
        <v/>
      </c>
    </row>
    <row r="48" spans="1:15" s="20" customFormat="1" ht="20.25" customHeight="1">
      <c r="A48" s="53"/>
      <c r="B48" s="86"/>
      <c r="C48" s="87"/>
      <c r="D48" s="68"/>
      <c r="E48" s="78"/>
      <c r="F48" s="59"/>
      <c r="G48" s="73"/>
      <c r="H48" s="476"/>
      <c r="I48" s="477" t="str">
        <f t="shared" si="4"/>
        <v/>
      </c>
      <c r="J48" s="478"/>
      <c r="K48" s="477" t="str">
        <f t="shared" si="5"/>
        <v/>
      </c>
      <c r="L48" s="478"/>
      <c r="M48" s="479" t="str">
        <f t="shared" si="6"/>
        <v/>
      </c>
      <c r="N48" s="476" t="str">
        <f>IF(F48="","",INT(HLOOKUP(N29,H29:M52,20,FALSE)*O28))</f>
        <v/>
      </c>
      <c r="O48" s="480" t="str">
        <f t="shared" si="7"/>
        <v/>
      </c>
    </row>
    <row r="49" spans="1:18" s="20" customFormat="1" ht="20.25" customHeight="1">
      <c r="A49" s="53"/>
      <c r="B49" s="86"/>
      <c r="C49" s="87"/>
      <c r="D49" s="68"/>
      <c r="E49" s="78"/>
      <c r="F49" s="59"/>
      <c r="G49" s="73"/>
      <c r="H49" s="476"/>
      <c r="I49" s="477" t="str">
        <f t="shared" si="4"/>
        <v/>
      </c>
      <c r="J49" s="478"/>
      <c r="K49" s="477" t="str">
        <f t="shared" si="5"/>
        <v/>
      </c>
      <c r="L49" s="478"/>
      <c r="M49" s="479" t="str">
        <f t="shared" si="6"/>
        <v/>
      </c>
      <c r="N49" s="476" t="str">
        <f>IF(F49="","",INT(HLOOKUP(N29,H29:M52,21,FALSE)*O28))</f>
        <v/>
      </c>
      <c r="O49" s="480" t="str">
        <f t="shared" si="7"/>
        <v/>
      </c>
    </row>
    <row r="50" spans="1:18" s="20" customFormat="1" ht="20.25" customHeight="1">
      <c r="A50" s="53"/>
      <c r="B50" s="86"/>
      <c r="C50" s="87"/>
      <c r="D50" s="68"/>
      <c r="E50" s="78"/>
      <c r="F50" s="59"/>
      <c r="G50" s="73"/>
      <c r="H50" s="476"/>
      <c r="I50" s="477" t="str">
        <f t="shared" si="4"/>
        <v/>
      </c>
      <c r="J50" s="478"/>
      <c r="K50" s="477" t="str">
        <f t="shared" si="5"/>
        <v/>
      </c>
      <c r="L50" s="478"/>
      <c r="M50" s="479" t="str">
        <f t="shared" si="6"/>
        <v/>
      </c>
      <c r="N50" s="476" t="str">
        <f>IF(F50="","",INT(HLOOKUP(N29,H29:M52,22,FALSE)*O28))</f>
        <v/>
      </c>
      <c r="O50" s="480" t="str">
        <f t="shared" si="7"/>
        <v/>
      </c>
    </row>
    <row r="51" spans="1:18" s="20" customFormat="1" ht="20.25" customHeight="1">
      <c r="A51" s="53"/>
      <c r="B51" s="86"/>
      <c r="C51" s="87"/>
      <c r="D51" s="68"/>
      <c r="E51" s="78"/>
      <c r="F51" s="59"/>
      <c r="G51" s="73"/>
      <c r="H51" s="476"/>
      <c r="I51" s="477" t="str">
        <f t="shared" si="4"/>
        <v/>
      </c>
      <c r="J51" s="478"/>
      <c r="K51" s="477" t="str">
        <f t="shared" si="5"/>
        <v/>
      </c>
      <c r="L51" s="478"/>
      <c r="M51" s="479" t="str">
        <f t="shared" si="6"/>
        <v/>
      </c>
      <c r="N51" s="476" t="str">
        <f>IF(F51="","",INT(HLOOKUP(N29,H29:M52,23,FALSE)*O28))</f>
        <v/>
      </c>
      <c r="O51" s="480" t="str">
        <f t="shared" si="7"/>
        <v/>
      </c>
    </row>
    <row r="52" spans="1:18" s="20" customFormat="1" ht="20.25" customHeight="1" thickBot="1">
      <c r="A52" s="54"/>
      <c r="B52" s="88"/>
      <c r="C52" s="89"/>
      <c r="D52" s="69"/>
      <c r="E52" s="79"/>
      <c r="F52" s="60"/>
      <c r="G52" s="74"/>
      <c r="H52" s="481"/>
      <c r="I52" s="482" t="str">
        <f t="shared" si="4"/>
        <v/>
      </c>
      <c r="J52" s="483"/>
      <c r="K52" s="482" t="str">
        <f t="shared" si="5"/>
        <v/>
      </c>
      <c r="L52" s="483"/>
      <c r="M52" s="484" t="str">
        <f t="shared" si="6"/>
        <v/>
      </c>
      <c r="N52" s="481" t="str">
        <f>IF(F52="","",INT(HLOOKUP(N29,H29:M52,24,FALSE)*O28))</f>
        <v/>
      </c>
      <c r="O52" s="485" t="str">
        <f t="shared" si="7"/>
        <v/>
      </c>
    </row>
    <row r="53" spans="1:18" s="20" customFormat="1" ht="20.25" customHeight="1" thickTop="1" thickBot="1">
      <c r="A53" s="28"/>
      <c r="B53" s="29"/>
      <c r="C53" s="29"/>
      <c r="D53" s="30" t="str">
        <f>IF(G53="","合      計","")</f>
        <v/>
      </c>
      <c r="E53" s="31" t="s">
        <v>61</v>
      </c>
      <c r="F53" s="31"/>
      <c r="G53" s="51">
        <v>1</v>
      </c>
      <c r="H53" s="486"/>
      <c r="I53" s="487">
        <f>IF($G53="",IF(SUM(I31:I52)=0,"",SUM(I31:I52)),IF(I26="","",SUM(I31:I52)+I26))</f>
        <v>3064000</v>
      </c>
      <c r="J53" s="488"/>
      <c r="K53" s="487" t="str">
        <f>IF(G53="",IF(SUM(K31:K52)=0,"",SUM(K31:K52)),IF(K26="","",SUM(K31:K52)+K26))</f>
        <v/>
      </c>
      <c r="L53" s="488"/>
      <c r="M53" s="489" t="str">
        <f>IF(G53="",IF(SUM(M31:M52)=0,"",SUM(M31:M52)),IF(M26="","",SUM(M31:M52)+M26))</f>
        <v/>
      </c>
      <c r="N53" s="490" t="s">
        <v>29</v>
      </c>
      <c r="O53" s="491" t="str">
        <f>IF(G80="",MIN(I53,K53,M53),"")</f>
        <v/>
      </c>
    </row>
    <row r="54" spans="1:18" s="20" customFormat="1" ht="20.25" customHeight="1">
      <c r="A54" s="24"/>
      <c r="B54" s="24"/>
      <c r="C54" s="24"/>
      <c r="G54" s="24"/>
      <c r="H54" s="32"/>
      <c r="I54" s="32"/>
      <c r="J54" s="32"/>
      <c r="K54" s="32"/>
      <c r="L54" s="32"/>
      <c r="M54" s="32"/>
      <c r="N54" s="20" t="str">
        <f>IF(B56="","EOL","")</f>
        <v/>
      </c>
      <c r="O54" s="32">
        <f>+O27+1</f>
        <v>2</v>
      </c>
    </row>
    <row r="55" spans="1:18" s="20" customFormat="1" ht="20.25" customHeight="1" thickBot="1">
      <c r="A55" s="2858" t="s">
        <v>3074</v>
      </c>
      <c r="B55" s="2858"/>
      <c r="C55" s="2858"/>
      <c r="D55" s="2858"/>
      <c r="E55" s="2858"/>
      <c r="F55" s="2858"/>
      <c r="G55" s="2858"/>
      <c r="H55" s="2858"/>
      <c r="I55" s="2858"/>
      <c r="J55" s="2858"/>
      <c r="K55" s="2858"/>
      <c r="L55" s="2858"/>
      <c r="M55" s="2858"/>
      <c r="N55" s="24" t="s">
        <v>85</v>
      </c>
      <c r="O55" s="217">
        <f>+O28</f>
        <v>1</v>
      </c>
    </row>
    <row r="56" spans="1:18" s="24" customFormat="1" ht="20.25" customHeight="1">
      <c r="A56" s="21"/>
      <c r="B56" s="22" t="s">
        <v>16</v>
      </c>
      <c r="C56" s="23" t="s">
        <v>18</v>
      </c>
      <c r="D56" s="23"/>
      <c r="E56" s="75"/>
      <c r="F56" s="55"/>
      <c r="G56" s="70"/>
      <c r="H56" s="2859" t="s">
        <v>2980</v>
      </c>
      <c r="I56" s="2860"/>
      <c r="J56" s="2860" t="s">
        <v>237</v>
      </c>
      <c r="K56" s="2861"/>
      <c r="L56" s="2860" t="s">
        <v>25</v>
      </c>
      <c r="M56" s="2862"/>
      <c r="N56" s="2863" t="str">
        <f>IF(G107="",IF(O80=I80,H56,IF(O80=K80,J56,L56)),N83)</f>
        <v>A:㈱佐渡島</v>
      </c>
      <c r="O56" s="2864"/>
    </row>
    <row r="57" spans="1:18" s="24" customFormat="1" ht="20.25" customHeight="1" thickBot="1">
      <c r="A57" s="25" t="s">
        <v>26</v>
      </c>
      <c r="B57" s="26" t="s">
        <v>17</v>
      </c>
      <c r="C57" s="27" t="s">
        <v>17</v>
      </c>
      <c r="D57" s="27" t="s">
        <v>19</v>
      </c>
      <c r="E57" s="76" t="s">
        <v>20</v>
      </c>
      <c r="F57" s="56" t="s">
        <v>21</v>
      </c>
      <c r="G57" s="71" t="s">
        <v>22</v>
      </c>
      <c r="H57" s="467" t="s">
        <v>23</v>
      </c>
      <c r="I57" s="468" t="s">
        <v>24</v>
      </c>
      <c r="J57" s="469" t="s">
        <v>23</v>
      </c>
      <c r="K57" s="468" t="s">
        <v>24</v>
      </c>
      <c r="L57" s="469" t="s">
        <v>23</v>
      </c>
      <c r="M57" s="468" t="s">
        <v>24</v>
      </c>
      <c r="N57" s="467" t="s">
        <v>27</v>
      </c>
      <c r="O57" s="470" t="s">
        <v>28</v>
      </c>
    </row>
    <row r="58" spans="1:18" s="20" customFormat="1" ht="20.25" customHeight="1">
      <c r="A58" s="52"/>
      <c r="B58" s="84"/>
      <c r="C58" s="85"/>
      <c r="D58" s="2628" t="s">
        <v>2979</v>
      </c>
      <c r="E58" s="77"/>
      <c r="F58" s="57"/>
      <c r="G58" s="72"/>
      <c r="H58" s="471"/>
      <c r="I58" s="472" t="str">
        <f t="shared" ref="I58:I79" si="8">IF(H58="","",ROUNDDOWN(H58*F58,0))</f>
        <v/>
      </c>
      <c r="J58" s="473"/>
      <c r="K58" s="472" t="str">
        <f t="shared" ref="K58:K79" si="9">IF(J58="","",ROUNDDOWN(J58*$F58,0))</f>
        <v/>
      </c>
      <c r="L58" s="473"/>
      <c r="M58" s="474" t="str">
        <f t="shared" ref="M58:M79" si="10">IF(L58="","",ROUNDDOWN(L58*$F58,0))</f>
        <v/>
      </c>
      <c r="N58" s="471" t="str">
        <f>IF(F58="","",INT(HLOOKUP(N56,H56:M79,3,FALSE)*O55))</f>
        <v/>
      </c>
      <c r="O58" s="475" t="str">
        <f t="shared" ref="O58:O79" si="11">IF(N58="","",IF(N58&lt;10,INT(N58),IF(N58&lt;10000,ROUNDDOWN(N58,-1),ROUNDDOWN(N58,-2))))</f>
        <v/>
      </c>
    </row>
    <row r="59" spans="1:18" s="20" customFormat="1" ht="20.25" customHeight="1">
      <c r="A59" s="53">
        <v>201</v>
      </c>
      <c r="B59" s="86">
        <v>4</v>
      </c>
      <c r="C59" s="264">
        <v>4</v>
      </c>
      <c r="D59" s="265" t="s">
        <v>2994</v>
      </c>
      <c r="E59" s="266" t="s">
        <v>2996</v>
      </c>
      <c r="F59" s="59">
        <v>4</v>
      </c>
      <c r="G59" s="268" t="s">
        <v>2982</v>
      </c>
      <c r="H59" s="476">
        <v>290000</v>
      </c>
      <c r="I59" s="477">
        <f t="shared" si="8"/>
        <v>1160000</v>
      </c>
      <c r="J59" s="478"/>
      <c r="K59" s="477" t="str">
        <f t="shared" si="9"/>
        <v/>
      </c>
      <c r="L59" s="478"/>
      <c r="M59" s="479" t="str">
        <f t="shared" si="10"/>
        <v/>
      </c>
      <c r="N59" s="476">
        <f>IF(F59="","",INT(HLOOKUP(N56,H56:M79,4,FALSE)*O55))</f>
        <v>290000</v>
      </c>
      <c r="O59" s="480">
        <f t="shared" si="11"/>
        <v>290000</v>
      </c>
    </row>
    <row r="60" spans="1:18" s="20" customFormat="1" ht="20.25" customHeight="1">
      <c r="A60" s="53"/>
      <c r="B60" s="86"/>
      <c r="C60" s="264"/>
      <c r="D60" s="265" t="s">
        <v>2995</v>
      </c>
      <c r="E60" s="266" t="s">
        <v>3008</v>
      </c>
      <c r="F60" s="59"/>
      <c r="G60" s="268"/>
      <c r="H60" s="476"/>
      <c r="I60" s="477" t="str">
        <f t="shared" si="8"/>
        <v/>
      </c>
      <c r="J60" s="478"/>
      <c r="K60" s="477" t="str">
        <f t="shared" si="9"/>
        <v/>
      </c>
      <c r="L60" s="478"/>
      <c r="M60" s="479" t="str">
        <f t="shared" si="10"/>
        <v/>
      </c>
      <c r="N60" s="476" t="str">
        <f>IF(F60="","",INT(HLOOKUP(N56,H56:M79,5,FALSE)*O55))</f>
        <v/>
      </c>
      <c r="O60" s="480" t="str">
        <f t="shared" si="11"/>
        <v/>
      </c>
      <c r="R60" s="2657"/>
    </row>
    <row r="61" spans="1:18" s="20" customFormat="1" ht="20.25" customHeight="1">
      <c r="A61" s="53"/>
      <c r="B61" s="86"/>
      <c r="C61" s="264"/>
      <c r="D61" s="265"/>
      <c r="E61" s="266" t="s">
        <v>2997</v>
      </c>
      <c r="F61" s="59"/>
      <c r="G61" s="268"/>
      <c r="H61" s="476"/>
      <c r="I61" s="477" t="str">
        <f t="shared" si="8"/>
        <v/>
      </c>
      <c r="J61" s="478"/>
      <c r="K61" s="477" t="str">
        <f t="shared" si="9"/>
        <v/>
      </c>
      <c r="L61" s="478"/>
      <c r="M61" s="479" t="str">
        <f t="shared" si="10"/>
        <v/>
      </c>
      <c r="N61" s="476" t="str">
        <f>IF(F61="","",INT(HLOOKUP(N56,H56:M79,6,FALSE)*O55))</f>
        <v/>
      </c>
      <c r="O61" s="480" t="str">
        <f t="shared" si="11"/>
        <v/>
      </c>
      <c r="R61" s="2657"/>
    </row>
    <row r="62" spans="1:18" s="20" customFormat="1" ht="20.25" customHeight="1">
      <c r="A62" s="53"/>
      <c r="B62" s="86"/>
      <c r="C62" s="264"/>
      <c r="D62" s="265"/>
      <c r="E62" s="266" t="s">
        <v>2998</v>
      </c>
      <c r="F62" s="59"/>
      <c r="G62" s="268"/>
      <c r="H62" s="476"/>
      <c r="I62" s="477" t="str">
        <f t="shared" si="8"/>
        <v/>
      </c>
      <c r="J62" s="478"/>
      <c r="K62" s="477" t="str">
        <f t="shared" si="9"/>
        <v/>
      </c>
      <c r="L62" s="478"/>
      <c r="M62" s="479" t="str">
        <f t="shared" si="10"/>
        <v/>
      </c>
      <c r="N62" s="476" t="str">
        <f>IF(F62="","",INT(HLOOKUP(N56,H56:M79,7,FALSE)*O55))</f>
        <v/>
      </c>
      <c r="O62" s="480" t="str">
        <f t="shared" si="11"/>
        <v/>
      </c>
      <c r="R62" s="2657"/>
    </row>
    <row r="63" spans="1:18" s="20" customFormat="1" ht="20.25" customHeight="1">
      <c r="A63" s="53"/>
      <c r="B63" s="86"/>
      <c r="C63" s="264"/>
      <c r="D63" s="265"/>
      <c r="E63" s="266" t="s">
        <v>2999</v>
      </c>
      <c r="F63" s="59"/>
      <c r="G63" s="268"/>
      <c r="H63" s="476"/>
      <c r="I63" s="477" t="str">
        <f t="shared" si="8"/>
        <v/>
      </c>
      <c r="J63" s="478"/>
      <c r="K63" s="477" t="str">
        <f t="shared" si="9"/>
        <v/>
      </c>
      <c r="L63" s="478"/>
      <c r="M63" s="479" t="str">
        <f t="shared" si="10"/>
        <v/>
      </c>
      <c r="N63" s="476" t="str">
        <f>IF(F63="","",INT(HLOOKUP(N56,H56:M79,8,FALSE)*O55))</f>
        <v/>
      </c>
      <c r="O63" s="480" t="str">
        <f t="shared" si="11"/>
        <v/>
      </c>
      <c r="R63" s="2657"/>
    </row>
    <row r="64" spans="1:18" s="20" customFormat="1" ht="20.25" customHeight="1">
      <c r="A64" s="53"/>
      <c r="B64" s="86"/>
      <c r="C64" s="264"/>
      <c r="D64" s="265"/>
      <c r="E64" s="266" t="s">
        <v>3000</v>
      </c>
      <c r="F64" s="59"/>
      <c r="G64" s="268"/>
      <c r="H64" s="476"/>
      <c r="I64" s="477" t="str">
        <f t="shared" si="8"/>
        <v/>
      </c>
      <c r="J64" s="478"/>
      <c r="K64" s="477" t="str">
        <f t="shared" si="9"/>
        <v/>
      </c>
      <c r="L64" s="478"/>
      <c r="M64" s="479" t="str">
        <f t="shared" si="10"/>
        <v/>
      </c>
      <c r="N64" s="476" t="str">
        <f>IF(F64="","",INT(HLOOKUP(N56,H56:M79,9,FALSE)*O55))</f>
        <v/>
      </c>
      <c r="O64" s="480" t="str">
        <f t="shared" si="11"/>
        <v/>
      </c>
      <c r="R64" s="2657"/>
    </row>
    <row r="65" spans="1:18" s="20" customFormat="1" ht="20.25" customHeight="1">
      <c r="A65" s="53"/>
      <c r="B65" s="86"/>
      <c r="C65" s="264"/>
      <c r="D65" s="265"/>
      <c r="E65" s="266" t="s">
        <v>3001</v>
      </c>
      <c r="F65" s="59"/>
      <c r="G65" s="268"/>
      <c r="H65" s="476"/>
      <c r="I65" s="477" t="str">
        <f t="shared" si="8"/>
        <v/>
      </c>
      <c r="J65" s="478"/>
      <c r="K65" s="477" t="str">
        <f t="shared" si="9"/>
        <v/>
      </c>
      <c r="L65" s="478"/>
      <c r="M65" s="479" t="str">
        <f t="shared" si="10"/>
        <v/>
      </c>
      <c r="N65" s="476" t="str">
        <f>IF(F65="","",INT(HLOOKUP(N56,H56:M79,10,FALSE)*O55))</f>
        <v/>
      </c>
      <c r="O65" s="480" t="str">
        <f t="shared" si="11"/>
        <v/>
      </c>
      <c r="R65" s="2657"/>
    </row>
    <row r="66" spans="1:18" s="20" customFormat="1" ht="20.25" customHeight="1">
      <c r="A66" s="53"/>
      <c r="B66" s="86"/>
      <c r="C66" s="264"/>
      <c r="D66" s="265"/>
      <c r="E66" s="266" t="s">
        <v>3002</v>
      </c>
      <c r="F66" s="59"/>
      <c r="G66" s="268"/>
      <c r="H66" s="476"/>
      <c r="I66" s="477" t="str">
        <f t="shared" si="8"/>
        <v/>
      </c>
      <c r="J66" s="478"/>
      <c r="K66" s="477" t="str">
        <f t="shared" si="9"/>
        <v/>
      </c>
      <c r="L66" s="478"/>
      <c r="M66" s="479" t="str">
        <f t="shared" si="10"/>
        <v/>
      </c>
      <c r="N66" s="476" t="str">
        <f>IF(F66="","",INT(HLOOKUP(N56,H56:M79,11,FALSE)*O55))</f>
        <v/>
      </c>
      <c r="O66" s="480" t="str">
        <f t="shared" si="11"/>
        <v/>
      </c>
      <c r="R66" s="2657"/>
    </row>
    <row r="67" spans="1:18" s="20" customFormat="1" ht="20.25" customHeight="1">
      <c r="A67" s="53"/>
      <c r="B67" s="86"/>
      <c r="C67" s="87"/>
      <c r="D67" s="68"/>
      <c r="E67" s="78"/>
      <c r="F67" s="59"/>
      <c r="G67" s="73"/>
      <c r="H67" s="476"/>
      <c r="I67" s="477" t="str">
        <f t="shared" si="8"/>
        <v/>
      </c>
      <c r="J67" s="478"/>
      <c r="K67" s="477" t="str">
        <f t="shared" si="9"/>
        <v/>
      </c>
      <c r="L67" s="478"/>
      <c r="M67" s="479" t="str">
        <f t="shared" si="10"/>
        <v/>
      </c>
      <c r="N67" s="476" t="str">
        <f>IF(F67="","",INT(HLOOKUP(N56,H56:M79,12,FALSE)*O55))</f>
        <v/>
      </c>
      <c r="O67" s="480" t="str">
        <f t="shared" si="11"/>
        <v/>
      </c>
      <c r="R67" s="2658"/>
    </row>
    <row r="68" spans="1:18" s="20" customFormat="1" ht="20.25" customHeight="1">
      <c r="A68" s="53">
        <v>200</v>
      </c>
      <c r="B68" s="86">
        <v>4</v>
      </c>
      <c r="C68" s="87">
        <v>4</v>
      </c>
      <c r="D68" s="68" t="s">
        <v>3004</v>
      </c>
      <c r="E68" s="78" t="s">
        <v>2983</v>
      </c>
      <c r="F68" s="59">
        <v>10</v>
      </c>
      <c r="G68" s="73" t="s">
        <v>2982</v>
      </c>
      <c r="H68" s="476">
        <f>220000+29000</f>
        <v>249000</v>
      </c>
      <c r="I68" s="477">
        <f t="shared" si="8"/>
        <v>2490000</v>
      </c>
      <c r="J68" s="478"/>
      <c r="K68" s="477" t="str">
        <f t="shared" si="9"/>
        <v/>
      </c>
      <c r="L68" s="478"/>
      <c r="M68" s="479" t="str">
        <f t="shared" si="10"/>
        <v/>
      </c>
      <c r="N68" s="476">
        <f>IF(F68="","",INT(HLOOKUP(N56,H56:M79,13,FALSE)*O55))</f>
        <v>249000</v>
      </c>
      <c r="O68" s="480">
        <f t="shared" si="11"/>
        <v>249000</v>
      </c>
      <c r="R68" s="2659"/>
    </row>
    <row r="69" spans="1:18" s="20" customFormat="1" ht="20.25" customHeight="1">
      <c r="A69" s="53"/>
      <c r="B69" s="86"/>
      <c r="C69" s="87"/>
      <c r="D69" s="68" t="s">
        <v>3005</v>
      </c>
      <c r="E69" s="78" t="s">
        <v>2986</v>
      </c>
      <c r="F69" s="59"/>
      <c r="G69" s="73"/>
      <c r="H69" s="476"/>
      <c r="I69" s="477" t="str">
        <f t="shared" si="8"/>
        <v/>
      </c>
      <c r="J69" s="478"/>
      <c r="K69" s="477" t="str">
        <f t="shared" si="9"/>
        <v/>
      </c>
      <c r="L69" s="478"/>
      <c r="M69" s="479" t="str">
        <f t="shared" si="10"/>
        <v/>
      </c>
      <c r="N69" s="476" t="str">
        <f>IF(F69="","",INT(HLOOKUP(N56,H56:M79,14,FALSE)*O55))</f>
        <v/>
      </c>
      <c r="O69" s="480" t="str">
        <f t="shared" si="11"/>
        <v/>
      </c>
      <c r="R69" s="2659"/>
    </row>
    <row r="70" spans="1:18" s="20" customFormat="1" ht="20.25" customHeight="1">
      <c r="A70" s="53"/>
      <c r="B70" s="86"/>
      <c r="C70" s="87"/>
      <c r="D70" s="68"/>
      <c r="E70" s="78" t="s">
        <v>2984</v>
      </c>
      <c r="F70" s="59"/>
      <c r="G70" s="73"/>
      <c r="H70" s="476"/>
      <c r="I70" s="477" t="str">
        <f t="shared" si="8"/>
        <v/>
      </c>
      <c r="J70" s="478"/>
      <c r="K70" s="477" t="str">
        <f t="shared" si="9"/>
        <v/>
      </c>
      <c r="L70" s="478"/>
      <c r="M70" s="479" t="str">
        <f t="shared" si="10"/>
        <v/>
      </c>
      <c r="N70" s="476" t="str">
        <f>IF(F70="","",INT(HLOOKUP(N56,H56:M79,15,FALSE)*O55))</f>
        <v/>
      </c>
      <c r="O70" s="480" t="str">
        <f t="shared" si="11"/>
        <v/>
      </c>
      <c r="R70" s="2659"/>
    </row>
    <row r="71" spans="1:18" s="20" customFormat="1" ht="20.25" customHeight="1">
      <c r="A71" s="53"/>
      <c r="B71" s="86"/>
      <c r="C71" s="87"/>
      <c r="D71" s="68"/>
      <c r="E71" s="78" t="s">
        <v>3010</v>
      </c>
      <c r="F71" s="59"/>
      <c r="G71" s="73"/>
      <c r="H71" s="476"/>
      <c r="I71" s="477" t="str">
        <f t="shared" si="8"/>
        <v/>
      </c>
      <c r="J71" s="478"/>
      <c r="K71" s="477" t="str">
        <f t="shared" si="9"/>
        <v/>
      </c>
      <c r="L71" s="478"/>
      <c r="M71" s="479" t="str">
        <f t="shared" si="10"/>
        <v/>
      </c>
      <c r="N71" s="476" t="str">
        <f>IF(F71="","",INT(HLOOKUP(N56,H56:M79,16,FALSE)*O55))</f>
        <v/>
      </c>
      <c r="O71" s="480" t="str">
        <f t="shared" si="11"/>
        <v/>
      </c>
      <c r="R71" s="2659"/>
    </row>
    <row r="72" spans="1:18" s="20" customFormat="1" ht="20.25" customHeight="1">
      <c r="A72" s="53"/>
      <c r="B72" s="86"/>
      <c r="C72" s="87"/>
      <c r="D72" s="68"/>
      <c r="E72" s="78" t="s">
        <v>2985</v>
      </c>
      <c r="F72" s="59"/>
      <c r="G72" s="73"/>
      <c r="H72" s="476"/>
      <c r="I72" s="477" t="str">
        <f t="shared" si="8"/>
        <v/>
      </c>
      <c r="J72" s="478"/>
      <c r="K72" s="477" t="str">
        <f t="shared" si="9"/>
        <v/>
      </c>
      <c r="L72" s="478"/>
      <c r="M72" s="479" t="str">
        <f t="shared" si="10"/>
        <v/>
      </c>
      <c r="N72" s="476" t="str">
        <f>IF(F72="","",INT(HLOOKUP(N56,H56:M79,17,FALSE)*O55))</f>
        <v/>
      </c>
      <c r="O72" s="480" t="str">
        <f t="shared" si="11"/>
        <v/>
      </c>
      <c r="R72" s="2659"/>
    </row>
    <row r="73" spans="1:18" s="20" customFormat="1" ht="20.25" customHeight="1">
      <c r="A73" s="53"/>
      <c r="B73" s="86"/>
      <c r="C73" s="87"/>
      <c r="D73" s="68"/>
      <c r="E73" s="78" t="s">
        <v>2987</v>
      </c>
      <c r="F73" s="59"/>
      <c r="G73" s="73"/>
      <c r="H73" s="476"/>
      <c r="I73" s="477" t="str">
        <f t="shared" si="8"/>
        <v/>
      </c>
      <c r="J73" s="478"/>
      <c r="K73" s="477" t="str">
        <f t="shared" si="9"/>
        <v/>
      </c>
      <c r="L73" s="478"/>
      <c r="M73" s="479" t="str">
        <f t="shared" si="10"/>
        <v/>
      </c>
      <c r="N73" s="476" t="str">
        <f>IF(F73="","",INT(HLOOKUP(N56,H56:M79,18,FALSE)*O55))</f>
        <v/>
      </c>
      <c r="O73" s="480" t="str">
        <f t="shared" si="11"/>
        <v/>
      </c>
      <c r="R73" s="2659"/>
    </row>
    <row r="74" spans="1:18" s="20" customFormat="1" ht="20.25" customHeight="1">
      <c r="A74" s="53"/>
      <c r="B74" s="86"/>
      <c r="C74" s="87"/>
      <c r="D74" s="68"/>
      <c r="E74" s="78" t="s">
        <v>3299</v>
      </c>
      <c r="F74" s="59"/>
      <c r="G74" s="73"/>
      <c r="H74" s="476"/>
      <c r="I74" s="477" t="str">
        <f t="shared" si="8"/>
        <v/>
      </c>
      <c r="J74" s="478"/>
      <c r="K74" s="477" t="str">
        <f t="shared" si="9"/>
        <v/>
      </c>
      <c r="L74" s="478"/>
      <c r="M74" s="479" t="str">
        <f t="shared" si="10"/>
        <v/>
      </c>
      <c r="N74" s="476" t="str">
        <f>IF(F74="","",INT(HLOOKUP(N56,H56:M79,19,FALSE)*O55))</f>
        <v/>
      </c>
      <c r="O74" s="480" t="str">
        <f t="shared" si="11"/>
        <v/>
      </c>
      <c r="R74" s="2658"/>
    </row>
    <row r="75" spans="1:18" s="20" customFormat="1" ht="20.25" customHeight="1">
      <c r="A75" s="53"/>
      <c r="B75" s="86"/>
      <c r="C75" s="87"/>
      <c r="D75" s="68"/>
      <c r="E75" s="78"/>
      <c r="F75" s="59"/>
      <c r="G75" s="73"/>
      <c r="H75" s="476"/>
      <c r="I75" s="477" t="str">
        <f t="shared" si="8"/>
        <v/>
      </c>
      <c r="J75" s="478"/>
      <c r="K75" s="477" t="str">
        <f t="shared" si="9"/>
        <v/>
      </c>
      <c r="L75" s="478"/>
      <c r="M75" s="479" t="str">
        <f t="shared" si="10"/>
        <v/>
      </c>
      <c r="N75" s="476" t="str">
        <f>IF(F75="","",INT(HLOOKUP(N56,H56:M79,20,FALSE)*O55))</f>
        <v/>
      </c>
      <c r="O75" s="480" t="str">
        <f t="shared" si="11"/>
        <v/>
      </c>
      <c r="R75" s="2658"/>
    </row>
    <row r="76" spans="1:18" s="20" customFormat="1" ht="20.25" customHeight="1">
      <c r="A76" s="53">
        <v>713</v>
      </c>
      <c r="B76" s="86">
        <v>4</v>
      </c>
      <c r="C76" s="87">
        <v>4</v>
      </c>
      <c r="D76" s="68" t="s">
        <v>3095</v>
      </c>
      <c r="E76" s="78" t="s">
        <v>3096</v>
      </c>
      <c r="F76" s="59">
        <v>10</v>
      </c>
      <c r="G76" s="73" t="s">
        <v>113</v>
      </c>
      <c r="H76" s="476">
        <v>120000</v>
      </c>
      <c r="I76" s="477">
        <f t="shared" si="8"/>
        <v>1200000</v>
      </c>
      <c r="J76" s="478"/>
      <c r="K76" s="477" t="str">
        <f t="shared" si="9"/>
        <v/>
      </c>
      <c r="L76" s="478"/>
      <c r="M76" s="479" t="str">
        <f t="shared" si="10"/>
        <v/>
      </c>
      <c r="N76" s="476">
        <f>IF(F76="","",INT(HLOOKUP(N56,H56:M79,21,FALSE)*O55))</f>
        <v>120000</v>
      </c>
      <c r="O76" s="480">
        <f t="shared" si="11"/>
        <v>120000</v>
      </c>
      <c r="R76" s="2658"/>
    </row>
    <row r="77" spans="1:18" s="20" customFormat="1" ht="20.25" customHeight="1">
      <c r="A77" s="53"/>
      <c r="B77" s="86"/>
      <c r="C77" s="87"/>
      <c r="D77" s="68"/>
      <c r="E77" s="78"/>
      <c r="F77" s="59"/>
      <c r="G77" s="73"/>
      <c r="H77" s="476"/>
      <c r="I77" s="477" t="str">
        <f t="shared" si="8"/>
        <v/>
      </c>
      <c r="J77" s="478"/>
      <c r="K77" s="477" t="str">
        <f t="shared" si="9"/>
        <v/>
      </c>
      <c r="L77" s="478"/>
      <c r="M77" s="479" t="str">
        <f t="shared" si="10"/>
        <v/>
      </c>
      <c r="N77" s="476" t="str">
        <f>IF(F77="","",INT(HLOOKUP(N56,H56:M79,22,FALSE)*O55))</f>
        <v/>
      </c>
      <c r="O77" s="480" t="str">
        <f t="shared" si="11"/>
        <v/>
      </c>
      <c r="R77" s="2658"/>
    </row>
    <row r="78" spans="1:18" s="20" customFormat="1" ht="20.25" customHeight="1">
      <c r="A78" s="53"/>
      <c r="B78" s="86"/>
      <c r="C78" s="87"/>
      <c r="D78" s="68"/>
      <c r="E78" s="78"/>
      <c r="F78" s="59"/>
      <c r="G78" s="73"/>
      <c r="H78" s="476"/>
      <c r="I78" s="477" t="str">
        <f t="shared" si="8"/>
        <v/>
      </c>
      <c r="J78" s="478"/>
      <c r="K78" s="477" t="str">
        <f t="shared" si="9"/>
        <v/>
      </c>
      <c r="L78" s="478"/>
      <c r="M78" s="479" t="str">
        <f t="shared" si="10"/>
        <v/>
      </c>
      <c r="N78" s="476" t="str">
        <f>IF(F78="","",INT(HLOOKUP(N56,H56:M79,23,FALSE)*O55))</f>
        <v/>
      </c>
      <c r="O78" s="480" t="str">
        <f t="shared" si="11"/>
        <v/>
      </c>
      <c r="R78" s="2658"/>
    </row>
    <row r="79" spans="1:18" s="20" customFormat="1" ht="20.25" customHeight="1" thickBot="1">
      <c r="A79" s="54"/>
      <c r="B79" s="88"/>
      <c r="C79" s="89"/>
      <c r="D79" s="69"/>
      <c r="E79" s="79"/>
      <c r="F79" s="60"/>
      <c r="G79" s="74"/>
      <c r="H79" s="481"/>
      <c r="I79" s="482" t="str">
        <f t="shared" si="8"/>
        <v/>
      </c>
      <c r="J79" s="483"/>
      <c r="K79" s="482" t="str">
        <f t="shared" si="9"/>
        <v/>
      </c>
      <c r="L79" s="483"/>
      <c r="M79" s="484" t="str">
        <f t="shared" si="10"/>
        <v/>
      </c>
      <c r="N79" s="481" t="str">
        <f>IF(F79="","",INT(HLOOKUP(N56,H56:M79,24,FALSE)*O55))</f>
        <v/>
      </c>
      <c r="O79" s="485" t="str">
        <f t="shared" si="11"/>
        <v/>
      </c>
    </row>
    <row r="80" spans="1:18" s="20" customFormat="1" ht="20.25" customHeight="1" thickTop="1" thickBot="1">
      <c r="A80" s="28"/>
      <c r="B80" s="29"/>
      <c r="C80" s="29"/>
      <c r="D80" s="30" t="str">
        <f>IF(G80="","合      計","")</f>
        <v/>
      </c>
      <c r="E80" s="31" t="s">
        <v>61</v>
      </c>
      <c r="F80" s="31"/>
      <c r="G80" s="51">
        <v>1</v>
      </c>
      <c r="H80" s="486"/>
      <c r="I80" s="487">
        <f>IF($G80="",IF(SUM(I58:I79)=0,"",SUM(I58:I79)),IF(I26="","",SUM(I58:I79)+I26))</f>
        <v>6720000</v>
      </c>
      <c r="J80" s="488"/>
      <c r="K80" s="487" t="str">
        <f>IF(G80="",IF(SUM(K58:K79)=0,"",SUM(K58:K79)),IF(K26="","",SUM(K58:K79)+K26))</f>
        <v/>
      </c>
      <c r="L80" s="488"/>
      <c r="M80" s="489" t="str">
        <f>IF(G80="",IF(SUM(M58:M79)=0,"",SUM(M58:M79)),IF(M26="","",SUM(M58:M79)+M26))</f>
        <v/>
      </c>
      <c r="N80" s="490" t="s">
        <v>29</v>
      </c>
      <c r="O80" s="491" t="str">
        <f>IF(G107="",MIN(I80,K80,M80),"")</f>
        <v/>
      </c>
    </row>
    <row r="81" spans="1:15" s="20" customFormat="1" ht="20.25" customHeight="1">
      <c r="A81" s="24"/>
      <c r="B81" s="24"/>
      <c r="C81" s="24"/>
      <c r="G81" s="24"/>
      <c r="H81" s="32"/>
      <c r="I81" s="32"/>
      <c r="J81" s="32"/>
      <c r="K81" s="32"/>
      <c r="L81" s="32"/>
      <c r="M81" s="32"/>
      <c r="N81" s="20" t="str">
        <f>IF(B83="","EOL","")</f>
        <v/>
      </c>
      <c r="O81" s="32">
        <f>+O54+1</f>
        <v>3</v>
      </c>
    </row>
    <row r="82" spans="1:15" s="20" customFormat="1" ht="20.25" customHeight="1" thickBot="1">
      <c r="A82" s="2858" t="s">
        <v>3279</v>
      </c>
      <c r="B82" s="2858"/>
      <c r="C82" s="2858"/>
      <c r="D82" s="2858"/>
      <c r="E82" s="2858"/>
      <c r="F82" s="2858"/>
      <c r="G82" s="2858"/>
      <c r="H82" s="2858"/>
      <c r="I82" s="2858"/>
      <c r="J82" s="2858"/>
      <c r="K82" s="2858"/>
      <c r="L82" s="2858"/>
      <c r="M82" s="2858"/>
      <c r="N82" s="24" t="s">
        <v>85</v>
      </c>
      <c r="O82" s="2629">
        <v>1</v>
      </c>
    </row>
    <row r="83" spans="1:15" s="24" customFormat="1" ht="20.25" customHeight="1">
      <c r="A83" s="21"/>
      <c r="B83" s="22" t="s">
        <v>16</v>
      </c>
      <c r="C83" s="23" t="s">
        <v>18</v>
      </c>
      <c r="D83" s="23"/>
      <c r="E83" s="75"/>
      <c r="F83" s="55"/>
      <c r="G83" s="70"/>
      <c r="H83" s="2859" t="s">
        <v>2980</v>
      </c>
      <c r="I83" s="2860"/>
      <c r="J83" s="2860" t="s">
        <v>237</v>
      </c>
      <c r="K83" s="2861"/>
      <c r="L83" s="2860" t="s">
        <v>25</v>
      </c>
      <c r="M83" s="2862"/>
      <c r="N83" s="2863" t="str">
        <f>IF(G134="",IF(O107=I107,H83,IF(O107=K107,J83,L83)),N110)</f>
        <v>A:㈱佐渡島</v>
      </c>
      <c r="O83" s="2864"/>
    </row>
    <row r="84" spans="1:15" s="24" customFormat="1" ht="20.25" customHeight="1" thickBot="1">
      <c r="A84" s="25" t="s">
        <v>239</v>
      </c>
      <c r="B84" s="26" t="s">
        <v>17</v>
      </c>
      <c r="C84" s="27" t="s">
        <v>17</v>
      </c>
      <c r="D84" s="27" t="s">
        <v>19</v>
      </c>
      <c r="E84" s="76" t="s">
        <v>20</v>
      </c>
      <c r="F84" s="56" t="s">
        <v>21</v>
      </c>
      <c r="G84" s="71" t="s">
        <v>22</v>
      </c>
      <c r="H84" s="467" t="s">
        <v>23</v>
      </c>
      <c r="I84" s="468" t="s">
        <v>24</v>
      </c>
      <c r="J84" s="469" t="s">
        <v>23</v>
      </c>
      <c r="K84" s="468" t="s">
        <v>24</v>
      </c>
      <c r="L84" s="469" t="s">
        <v>23</v>
      </c>
      <c r="M84" s="468" t="s">
        <v>24</v>
      </c>
      <c r="N84" s="467" t="s">
        <v>27</v>
      </c>
      <c r="O84" s="470" t="s">
        <v>28</v>
      </c>
    </row>
    <row r="85" spans="1:15" s="20" customFormat="1" ht="20.25" customHeight="1">
      <c r="A85" s="52"/>
      <c r="B85" s="84"/>
      <c r="C85" s="85"/>
      <c r="D85" s="2628" t="s">
        <v>3280</v>
      </c>
      <c r="E85" s="77"/>
      <c r="F85" s="57"/>
      <c r="G85" s="72"/>
      <c r="H85" s="471"/>
      <c r="I85" s="472" t="str">
        <f t="shared" ref="I85:I106" si="12">IF(H85="","",ROUNDDOWN(H85*F85,0))</f>
        <v/>
      </c>
      <c r="J85" s="473"/>
      <c r="K85" s="472" t="str">
        <f t="shared" ref="K85:K106" si="13">IF(J85="","",ROUNDDOWN(J85*$F85,0))</f>
        <v/>
      </c>
      <c r="L85" s="473"/>
      <c r="M85" s="474" t="str">
        <f t="shared" ref="M85:M106" si="14">IF(L85="","",ROUNDDOWN(L85*$F85,0))</f>
        <v/>
      </c>
      <c r="N85" s="471" t="str">
        <f>IF(F85="","",INT(HLOOKUP(N83,H83:M106,3,FALSE)*O82))</f>
        <v/>
      </c>
      <c r="O85" s="475" t="str">
        <f t="shared" ref="O85:O106" si="15">IF(N85="","",IF(N85&lt;10,INT(N85),IF(N85&lt;10000,ROUNDDOWN(N85,-1),ROUNDDOWN(N85,-2))))</f>
        <v/>
      </c>
    </row>
    <row r="86" spans="1:15" s="20" customFormat="1" ht="20.25" customHeight="1">
      <c r="A86" s="53">
        <v>203</v>
      </c>
      <c r="B86" s="86">
        <v>4</v>
      </c>
      <c r="C86" s="87">
        <v>4</v>
      </c>
      <c r="D86" s="68" t="s">
        <v>2994</v>
      </c>
      <c r="E86" s="78" t="s">
        <v>3277</v>
      </c>
      <c r="F86" s="59">
        <v>4</v>
      </c>
      <c r="G86" s="73" t="s">
        <v>2982</v>
      </c>
      <c r="H86" s="476">
        <v>290000</v>
      </c>
      <c r="I86" s="477">
        <f t="shared" si="12"/>
        <v>1160000</v>
      </c>
      <c r="J86" s="478"/>
      <c r="K86" s="477" t="str">
        <f t="shared" si="13"/>
        <v/>
      </c>
      <c r="L86" s="478"/>
      <c r="M86" s="479" t="str">
        <f t="shared" si="14"/>
        <v/>
      </c>
      <c r="N86" s="476">
        <f>IF(F86="","",INT(HLOOKUP(N83,H83:M106,4,FALSE)*O82))</f>
        <v>290000</v>
      </c>
      <c r="O86" s="480">
        <f t="shared" si="15"/>
        <v>290000</v>
      </c>
    </row>
    <row r="87" spans="1:15" s="20" customFormat="1" ht="20.25" customHeight="1">
      <c r="A87" s="53"/>
      <c r="B87" s="86"/>
      <c r="C87" s="87"/>
      <c r="D87" s="68" t="s">
        <v>2995</v>
      </c>
      <c r="E87" s="78" t="s">
        <v>3008</v>
      </c>
      <c r="F87" s="59"/>
      <c r="G87" s="73"/>
      <c r="H87" s="476"/>
      <c r="I87" s="477" t="str">
        <f t="shared" si="12"/>
        <v/>
      </c>
      <c r="J87" s="478"/>
      <c r="K87" s="477" t="str">
        <f t="shared" si="13"/>
        <v/>
      </c>
      <c r="L87" s="478"/>
      <c r="M87" s="479" t="str">
        <f t="shared" si="14"/>
        <v/>
      </c>
      <c r="N87" s="476" t="str">
        <f>IF(F87="","",INT(HLOOKUP(N83,H83:M106,5,FALSE)*O82))</f>
        <v/>
      </c>
      <c r="O87" s="480" t="str">
        <f t="shared" si="15"/>
        <v/>
      </c>
    </row>
    <row r="88" spans="1:15" s="20" customFormat="1" ht="20.25" customHeight="1">
      <c r="A88" s="53"/>
      <c r="B88" s="86"/>
      <c r="C88" s="87"/>
      <c r="D88" s="68"/>
      <c r="E88" s="78" t="s">
        <v>2997</v>
      </c>
      <c r="F88" s="59"/>
      <c r="G88" s="73"/>
      <c r="H88" s="476"/>
      <c r="I88" s="477" t="str">
        <f t="shared" si="12"/>
        <v/>
      </c>
      <c r="J88" s="478"/>
      <c r="K88" s="477" t="str">
        <f t="shared" si="13"/>
        <v/>
      </c>
      <c r="L88" s="478"/>
      <c r="M88" s="479" t="str">
        <f t="shared" si="14"/>
        <v/>
      </c>
      <c r="N88" s="476" t="str">
        <f>IF(F88="","",INT(HLOOKUP(N83,H83:M106,6,FALSE)*O82))</f>
        <v/>
      </c>
      <c r="O88" s="480" t="str">
        <f t="shared" si="15"/>
        <v/>
      </c>
    </row>
    <row r="89" spans="1:15" s="20" customFormat="1" ht="20.25" customHeight="1">
      <c r="A89" s="53"/>
      <c r="B89" s="86"/>
      <c r="C89" s="87"/>
      <c r="D89" s="68"/>
      <c r="E89" s="78" t="s">
        <v>2998</v>
      </c>
      <c r="F89" s="59"/>
      <c r="G89" s="73"/>
      <c r="H89" s="476"/>
      <c r="I89" s="477" t="str">
        <f t="shared" si="12"/>
        <v/>
      </c>
      <c r="J89" s="478"/>
      <c r="K89" s="477" t="str">
        <f t="shared" si="13"/>
        <v/>
      </c>
      <c r="L89" s="478"/>
      <c r="M89" s="479" t="str">
        <f t="shared" si="14"/>
        <v/>
      </c>
      <c r="N89" s="476" t="str">
        <f>IF(F89="","",INT(HLOOKUP(N83,H83:M106,7,FALSE)*O82))</f>
        <v/>
      </c>
      <c r="O89" s="480" t="str">
        <f t="shared" si="15"/>
        <v/>
      </c>
    </row>
    <row r="90" spans="1:15" s="20" customFormat="1" ht="20.25" customHeight="1">
      <c r="A90" s="53"/>
      <c r="B90" s="86"/>
      <c r="C90" s="87"/>
      <c r="D90" s="68"/>
      <c r="E90" s="78" t="s">
        <v>2999</v>
      </c>
      <c r="F90" s="59"/>
      <c r="G90" s="73"/>
      <c r="H90" s="476"/>
      <c r="I90" s="477" t="str">
        <f t="shared" si="12"/>
        <v/>
      </c>
      <c r="J90" s="478"/>
      <c r="K90" s="477" t="str">
        <f t="shared" si="13"/>
        <v/>
      </c>
      <c r="L90" s="478"/>
      <c r="M90" s="479" t="str">
        <f t="shared" si="14"/>
        <v/>
      </c>
      <c r="N90" s="476" t="str">
        <f>IF(F90="","",INT(HLOOKUP(N83,H83:M106,8,FALSE)*O82))</f>
        <v/>
      </c>
      <c r="O90" s="480" t="str">
        <f t="shared" si="15"/>
        <v/>
      </c>
    </row>
    <row r="91" spans="1:15" s="20" customFormat="1" ht="20.25" customHeight="1">
      <c r="A91" s="53"/>
      <c r="B91" s="86"/>
      <c r="C91" s="87"/>
      <c r="D91" s="68"/>
      <c r="E91" s="78" t="s">
        <v>3000</v>
      </c>
      <c r="F91" s="59"/>
      <c r="G91" s="73"/>
      <c r="H91" s="476"/>
      <c r="I91" s="477" t="str">
        <f t="shared" si="12"/>
        <v/>
      </c>
      <c r="J91" s="478"/>
      <c r="K91" s="477" t="str">
        <f t="shared" si="13"/>
        <v/>
      </c>
      <c r="L91" s="478"/>
      <c r="M91" s="479" t="str">
        <f t="shared" si="14"/>
        <v/>
      </c>
      <c r="N91" s="476" t="str">
        <f>IF(F91="","",INT(HLOOKUP(N83,H83:M106,9,FALSE)*O82))</f>
        <v/>
      </c>
      <c r="O91" s="480" t="str">
        <f t="shared" si="15"/>
        <v/>
      </c>
    </row>
    <row r="92" spans="1:15" s="20" customFormat="1" ht="20.25" customHeight="1">
      <c r="A92" s="53"/>
      <c r="B92" s="86"/>
      <c r="C92" s="87"/>
      <c r="D92" s="68"/>
      <c r="E92" s="78" t="s">
        <v>3001</v>
      </c>
      <c r="F92" s="59"/>
      <c r="G92" s="73"/>
      <c r="H92" s="476"/>
      <c r="I92" s="477" t="str">
        <f t="shared" si="12"/>
        <v/>
      </c>
      <c r="J92" s="478"/>
      <c r="K92" s="477" t="str">
        <f t="shared" si="13"/>
        <v/>
      </c>
      <c r="L92" s="478"/>
      <c r="M92" s="479" t="str">
        <f t="shared" si="14"/>
        <v/>
      </c>
      <c r="N92" s="476" t="str">
        <f>IF(F92="","",INT(HLOOKUP(N83,H83:M106,10,FALSE)*O82))</f>
        <v/>
      </c>
      <c r="O92" s="480" t="str">
        <f t="shared" si="15"/>
        <v/>
      </c>
    </row>
    <row r="93" spans="1:15" s="20" customFormat="1" ht="20.25" customHeight="1">
      <c r="A93" s="53"/>
      <c r="B93" s="86"/>
      <c r="C93" s="87"/>
      <c r="D93" s="68"/>
      <c r="E93" s="78" t="s">
        <v>3002</v>
      </c>
      <c r="F93" s="59"/>
      <c r="G93" s="73"/>
      <c r="H93" s="476"/>
      <c r="I93" s="477" t="str">
        <f t="shared" si="12"/>
        <v/>
      </c>
      <c r="J93" s="478"/>
      <c r="K93" s="477" t="str">
        <f t="shared" si="13"/>
        <v/>
      </c>
      <c r="L93" s="478"/>
      <c r="M93" s="479" t="str">
        <f t="shared" si="14"/>
        <v/>
      </c>
      <c r="N93" s="476" t="str">
        <f>IF(F93="","",INT(HLOOKUP(N83,H83:M106,11,FALSE)*O82))</f>
        <v/>
      </c>
      <c r="O93" s="480" t="str">
        <f t="shared" si="15"/>
        <v/>
      </c>
    </row>
    <row r="94" spans="1:15" s="20" customFormat="1" ht="20.25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2"/>
        <v/>
      </c>
      <c r="J94" s="478"/>
      <c r="K94" s="477" t="str">
        <f t="shared" si="13"/>
        <v/>
      </c>
      <c r="L94" s="478"/>
      <c r="M94" s="479" t="str">
        <f t="shared" si="14"/>
        <v/>
      </c>
      <c r="N94" s="476" t="str">
        <f>IF(F94="","",INT(HLOOKUP(N83,H83:M106,12,FALSE)*O82))</f>
        <v/>
      </c>
      <c r="O94" s="480" t="str">
        <f t="shared" si="15"/>
        <v/>
      </c>
    </row>
    <row r="95" spans="1:15" s="20" customFormat="1" ht="20.25" customHeight="1">
      <c r="A95" s="53">
        <v>202</v>
      </c>
      <c r="B95" s="86">
        <v>4</v>
      </c>
      <c r="C95" s="87">
        <v>4</v>
      </c>
      <c r="D95" s="68" t="s">
        <v>3004</v>
      </c>
      <c r="E95" s="78" t="s">
        <v>3281</v>
      </c>
      <c r="F95" s="59">
        <v>14</v>
      </c>
      <c r="G95" s="73" t="s">
        <v>2982</v>
      </c>
      <c r="H95" s="476">
        <v>270000</v>
      </c>
      <c r="I95" s="477">
        <f t="shared" si="12"/>
        <v>3780000</v>
      </c>
      <c r="J95" s="478"/>
      <c r="K95" s="477" t="str">
        <f t="shared" si="13"/>
        <v/>
      </c>
      <c r="L95" s="478"/>
      <c r="M95" s="479" t="str">
        <f t="shared" si="14"/>
        <v/>
      </c>
      <c r="N95" s="476">
        <f>IF(F95="","",INT(HLOOKUP(N83,H83:M106,13,FALSE)*O82))</f>
        <v>270000</v>
      </c>
      <c r="O95" s="480">
        <f t="shared" si="15"/>
        <v>270000</v>
      </c>
    </row>
    <row r="96" spans="1:15" s="20" customFormat="1" ht="20.25" customHeight="1">
      <c r="A96" s="53"/>
      <c r="B96" s="86"/>
      <c r="C96" s="87"/>
      <c r="D96" s="68" t="s">
        <v>2995</v>
      </c>
      <c r="E96" s="78" t="s">
        <v>3007</v>
      </c>
      <c r="F96" s="59"/>
      <c r="G96" s="73"/>
      <c r="H96" s="476"/>
      <c r="I96" s="477" t="str">
        <f t="shared" si="12"/>
        <v/>
      </c>
      <c r="J96" s="478"/>
      <c r="K96" s="477" t="str">
        <f t="shared" si="13"/>
        <v/>
      </c>
      <c r="L96" s="478"/>
      <c r="M96" s="479" t="str">
        <f t="shared" si="14"/>
        <v/>
      </c>
      <c r="N96" s="476" t="str">
        <f>IF(F96="","",INT(HLOOKUP(N83,H83:M106,14,FALSE)*O82))</f>
        <v/>
      </c>
      <c r="O96" s="480" t="str">
        <f t="shared" si="15"/>
        <v/>
      </c>
    </row>
    <row r="97" spans="1:15" s="20" customFormat="1" ht="20.25" customHeight="1">
      <c r="A97" s="53"/>
      <c r="B97" s="86"/>
      <c r="C97" s="87"/>
      <c r="D97" s="68"/>
      <c r="E97" s="78" t="s">
        <v>2997</v>
      </c>
      <c r="F97" s="59"/>
      <c r="G97" s="73"/>
      <c r="H97" s="476"/>
      <c r="I97" s="477" t="str">
        <f t="shared" si="12"/>
        <v/>
      </c>
      <c r="J97" s="478"/>
      <c r="K97" s="477" t="str">
        <f t="shared" si="13"/>
        <v/>
      </c>
      <c r="L97" s="478"/>
      <c r="M97" s="479" t="str">
        <f t="shared" si="14"/>
        <v/>
      </c>
      <c r="N97" s="476" t="str">
        <f>IF(F97="","",INT(HLOOKUP(N83,H83:M106,15,FALSE)*O82))</f>
        <v/>
      </c>
      <c r="O97" s="480" t="str">
        <f t="shared" si="15"/>
        <v/>
      </c>
    </row>
    <row r="98" spans="1:15" s="20" customFormat="1" ht="20.25" customHeight="1">
      <c r="A98" s="53"/>
      <c r="B98" s="86"/>
      <c r="C98" s="87"/>
      <c r="D98" s="68"/>
      <c r="E98" s="78" t="s">
        <v>2998</v>
      </c>
      <c r="F98" s="59"/>
      <c r="G98" s="73"/>
      <c r="H98" s="476"/>
      <c r="I98" s="477" t="str">
        <f t="shared" si="12"/>
        <v/>
      </c>
      <c r="J98" s="478"/>
      <c r="K98" s="477" t="str">
        <f t="shared" si="13"/>
        <v/>
      </c>
      <c r="L98" s="478"/>
      <c r="M98" s="479" t="str">
        <f t="shared" si="14"/>
        <v/>
      </c>
      <c r="N98" s="476" t="str">
        <f>IF(F98="","",INT(HLOOKUP(N83,H83:M106,16,FALSE)*O82))</f>
        <v/>
      </c>
      <c r="O98" s="480" t="str">
        <f t="shared" si="15"/>
        <v/>
      </c>
    </row>
    <row r="99" spans="1:15" s="20" customFormat="1" ht="20.25" customHeight="1">
      <c r="A99" s="53"/>
      <c r="B99" s="86"/>
      <c r="C99" s="87"/>
      <c r="D99" s="68"/>
      <c r="E99" s="78" t="s">
        <v>2999</v>
      </c>
      <c r="F99" s="59"/>
      <c r="G99" s="73"/>
      <c r="H99" s="476"/>
      <c r="I99" s="477" t="str">
        <f t="shared" si="12"/>
        <v/>
      </c>
      <c r="J99" s="478"/>
      <c r="K99" s="477" t="str">
        <f t="shared" si="13"/>
        <v/>
      </c>
      <c r="L99" s="478"/>
      <c r="M99" s="479" t="str">
        <f t="shared" si="14"/>
        <v/>
      </c>
      <c r="N99" s="476" t="str">
        <f>IF(F99="","",INT(HLOOKUP(N83,H83:M106,17,FALSE)*O82))</f>
        <v/>
      </c>
      <c r="O99" s="480" t="str">
        <f t="shared" si="15"/>
        <v/>
      </c>
    </row>
    <row r="100" spans="1:15" s="20" customFormat="1" ht="20.25" customHeight="1">
      <c r="A100" s="53"/>
      <c r="B100" s="86"/>
      <c r="C100" s="87"/>
      <c r="D100" s="68"/>
      <c r="E100" s="78" t="s">
        <v>3000</v>
      </c>
      <c r="F100" s="59"/>
      <c r="G100" s="73"/>
      <c r="H100" s="476"/>
      <c r="I100" s="477" t="str">
        <f t="shared" si="12"/>
        <v/>
      </c>
      <c r="J100" s="478"/>
      <c r="K100" s="477" t="str">
        <f t="shared" si="13"/>
        <v/>
      </c>
      <c r="L100" s="478"/>
      <c r="M100" s="479" t="str">
        <f t="shared" si="14"/>
        <v/>
      </c>
      <c r="N100" s="476" t="str">
        <f>IF(F100="","",INT(HLOOKUP(N83,H83:M106,18,FALSE)*O82))</f>
        <v/>
      </c>
      <c r="O100" s="480" t="str">
        <f t="shared" si="15"/>
        <v/>
      </c>
    </row>
    <row r="101" spans="1:15" s="20" customFormat="1" ht="20.25" customHeight="1">
      <c r="A101" s="53"/>
      <c r="B101" s="86"/>
      <c r="C101" s="87"/>
      <c r="D101" s="68"/>
      <c r="E101" s="78" t="s">
        <v>3001</v>
      </c>
      <c r="F101" s="59"/>
      <c r="G101" s="73"/>
      <c r="H101" s="476"/>
      <c r="I101" s="477" t="str">
        <f t="shared" si="12"/>
        <v/>
      </c>
      <c r="J101" s="478"/>
      <c r="K101" s="477" t="str">
        <f t="shared" si="13"/>
        <v/>
      </c>
      <c r="L101" s="478"/>
      <c r="M101" s="479" t="str">
        <f t="shared" si="14"/>
        <v/>
      </c>
      <c r="N101" s="476" t="str">
        <f>IF(F101="","",INT(HLOOKUP(N83,H83:M106,19,FALSE)*O82))</f>
        <v/>
      </c>
      <c r="O101" s="480" t="str">
        <f t="shared" si="15"/>
        <v/>
      </c>
    </row>
    <row r="102" spans="1:15" s="20" customFormat="1" ht="20.25" customHeight="1">
      <c r="A102" s="53"/>
      <c r="B102" s="86"/>
      <c r="C102" s="87"/>
      <c r="D102" s="68"/>
      <c r="E102" s="78" t="s">
        <v>3002</v>
      </c>
      <c r="F102" s="59"/>
      <c r="G102" s="73"/>
      <c r="H102" s="476"/>
      <c r="I102" s="477" t="str">
        <f t="shared" si="12"/>
        <v/>
      </c>
      <c r="J102" s="478"/>
      <c r="K102" s="477" t="str">
        <f t="shared" si="13"/>
        <v/>
      </c>
      <c r="L102" s="478"/>
      <c r="M102" s="479" t="str">
        <f t="shared" si="14"/>
        <v/>
      </c>
      <c r="N102" s="476" t="str">
        <f>IF(F102="","",INT(HLOOKUP(N83,H83:M106,20,FALSE)*O82))</f>
        <v/>
      </c>
      <c r="O102" s="480" t="str">
        <f t="shared" si="15"/>
        <v/>
      </c>
    </row>
    <row r="103" spans="1:15" s="20" customFormat="1" ht="20.25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2"/>
        <v/>
      </c>
      <c r="J103" s="478"/>
      <c r="K103" s="477" t="str">
        <f t="shared" si="13"/>
        <v/>
      </c>
      <c r="L103" s="478"/>
      <c r="M103" s="479" t="str">
        <f t="shared" si="14"/>
        <v/>
      </c>
      <c r="N103" s="476" t="str">
        <f>IF(F103="","",INT(HLOOKUP(N83,H83:M106,21,FALSE)*O82))</f>
        <v/>
      </c>
      <c r="O103" s="480" t="str">
        <f t="shared" si="15"/>
        <v/>
      </c>
    </row>
    <row r="104" spans="1:15" s="20" customFormat="1" ht="20.25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2"/>
        <v/>
      </c>
      <c r="J104" s="478"/>
      <c r="K104" s="477" t="str">
        <f t="shared" si="13"/>
        <v/>
      </c>
      <c r="L104" s="478"/>
      <c r="M104" s="479" t="str">
        <f t="shared" si="14"/>
        <v/>
      </c>
      <c r="N104" s="476" t="str">
        <f>IF(F104="","",INT(HLOOKUP(N83,H83:M106,22,FALSE)*O82))</f>
        <v/>
      </c>
      <c r="O104" s="480" t="str">
        <f t="shared" si="15"/>
        <v/>
      </c>
    </row>
    <row r="105" spans="1:15" s="20" customFormat="1" ht="20.25" customHeight="1">
      <c r="A105" s="53"/>
      <c r="B105" s="86"/>
      <c r="C105" s="87"/>
      <c r="D105" s="68"/>
      <c r="E105" s="78"/>
      <c r="F105" s="59"/>
      <c r="G105" s="73"/>
      <c r="H105" s="476"/>
      <c r="I105" s="477" t="str">
        <f t="shared" si="12"/>
        <v/>
      </c>
      <c r="J105" s="478"/>
      <c r="K105" s="477" t="str">
        <f t="shared" si="13"/>
        <v/>
      </c>
      <c r="L105" s="478"/>
      <c r="M105" s="479" t="str">
        <f t="shared" si="14"/>
        <v/>
      </c>
      <c r="N105" s="476" t="str">
        <f>IF(F105="","",INT(HLOOKUP(N83,H83:M106,23,FALSE)*O82))</f>
        <v/>
      </c>
      <c r="O105" s="480" t="str">
        <f t="shared" si="15"/>
        <v/>
      </c>
    </row>
    <row r="106" spans="1:15" s="20" customFormat="1" ht="20.25" customHeight="1" thickBot="1">
      <c r="A106" s="54"/>
      <c r="B106" s="88"/>
      <c r="C106" s="89"/>
      <c r="D106" s="69"/>
      <c r="E106" s="79"/>
      <c r="F106" s="60"/>
      <c r="G106" s="74"/>
      <c r="H106" s="481"/>
      <c r="I106" s="482" t="str">
        <f t="shared" si="12"/>
        <v/>
      </c>
      <c r="J106" s="483"/>
      <c r="K106" s="482" t="str">
        <f t="shared" si="13"/>
        <v/>
      </c>
      <c r="L106" s="483"/>
      <c r="M106" s="484" t="str">
        <f t="shared" si="14"/>
        <v/>
      </c>
      <c r="N106" s="481" t="str">
        <f>IF(F106="","",INT(HLOOKUP(N83,H83:M106,24,FALSE)*O82))</f>
        <v/>
      </c>
      <c r="O106" s="485" t="str">
        <f t="shared" si="15"/>
        <v/>
      </c>
    </row>
    <row r="107" spans="1:15" s="20" customFormat="1" ht="20.25" customHeight="1" thickTop="1" thickBot="1">
      <c r="A107" s="28"/>
      <c r="B107" s="29"/>
      <c r="C107" s="29"/>
      <c r="D107" s="30" t="str">
        <f>IF(G107="","合      計","")</f>
        <v/>
      </c>
      <c r="E107" s="31" t="s">
        <v>61</v>
      </c>
      <c r="F107" s="31"/>
      <c r="G107" s="51">
        <v>1</v>
      </c>
      <c r="H107" s="486"/>
      <c r="I107" s="487">
        <f>IF($G107="",IF(SUM(I85:I106)=0,"",SUM(I85:I106)),IF(I80="","",SUM(I85:I106)+I80))</f>
        <v>11660000</v>
      </c>
      <c r="J107" s="488"/>
      <c r="K107" s="487" t="str">
        <f>IF(G107="",IF(SUM(K85:K106)=0,"",SUM(K85:K106)),IF(K80="","",SUM(K85:K106)+K80))</f>
        <v/>
      </c>
      <c r="L107" s="488"/>
      <c r="M107" s="489" t="str">
        <f>IF(G107="",IF(SUM(M85:M106)=0,"",SUM(M85:M106)),IF(M80="","",SUM(M85:M106)+M80))</f>
        <v/>
      </c>
      <c r="N107" s="490" t="s">
        <v>29</v>
      </c>
      <c r="O107" s="491">
        <f>IF(G134="",MIN(I107,K107,M107),"")</f>
        <v>11660000</v>
      </c>
    </row>
    <row r="108" spans="1:15" s="20" customFormat="1" ht="20.25" customHeight="1">
      <c r="A108" s="24"/>
      <c r="B108" s="24"/>
      <c r="C108" s="24"/>
      <c r="G108" s="24"/>
      <c r="H108" s="32"/>
      <c r="I108" s="32"/>
      <c r="J108" s="32"/>
      <c r="K108" s="32"/>
      <c r="L108" s="32"/>
      <c r="M108" s="32"/>
      <c r="N108" s="20" t="str">
        <f>IF(B110="","EOL","")</f>
        <v/>
      </c>
      <c r="O108" s="32">
        <f>+O81+1</f>
        <v>4</v>
      </c>
    </row>
    <row r="109" spans="1:15" s="20" customFormat="1" ht="20.25" customHeight="1" thickBot="1">
      <c r="A109" s="2858" t="s">
        <v>3371</v>
      </c>
      <c r="B109" s="2858"/>
      <c r="C109" s="2858"/>
      <c r="D109" s="2858"/>
      <c r="E109" s="2858"/>
      <c r="F109" s="2858"/>
      <c r="G109" s="2858"/>
      <c r="H109" s="2858"/>
      <c r="I109" s="2858"/>
      <c r="J109" s="2858"/>
      <c r="K109" s="2858"/>
      <c r="L109" s="2858"/>
      <c r="M109" s="2858"/>
      <c r="N109" s="24" t="s">
        <v>85</v>
      </c>
      <c r="O109" s="217">
        <v>1</v>
      </c>
    </row>
    <row r="110" spans="1:15" s="24" customFormat="1" ht="20.25" customHeight="1">
      <c r="A110" s="21"/>
      <c r="B110" s="22" t="s">
        <v>16</v>
      </c>
      <c r="C110" s="23" t="s">
        <v>18</v>
      </c>
      <c r="D110" s="23"/>
      <c r="E110" s="75"/>
      <c r="F110" s="55"/>
      <c r="G110" s="70"/>
      <c r="H110" s="2859" t="s">
        <v>2980</v>
      </c>
      <c r="I110" s="2860"/>
      <c r="J110" s="2868" t="s">
        <v>237</v>
      </c>
      <c r="K110" s="2867"/>
      <c r="L110" s="2868" t="s">
        <v>25</v>
      </c>
      <c r="M110" s="2869"/>
      <c r="N110" s="2863" t="str">
        <f>IF(G161="",IF(O134=I134,H110,IF(O134=K134,J110,L110)),N137)</f>
        <v>A:㈱佐渡島</v>
      </c>
      <c r="O110" s="2864"/>
    </row>
    <row r="111" spans="1:15" s="24" customFormat="1" ht="20.25" customHeight="1" thickBot="1">
      <c r="A111" s="25" t="s">
        <v>26</v>
      </c>
      <c r="B111" s="26" t="s">
        <v>17</v>
      </c>
      <c r="C111" s="27" t="s">
        <v>17</v>
      </c>
      <c r="D111" s="27" t="s">
        <v>19</v>
      </c>
      <c r="E111" s="76" t="s">
        <v>20</v>
      </c>
      <c r="F111" s="56" t="s">
        <v>21</v>
      </c>
      <c r="G111" s="71" t="s">
        <v>22</v>
      </c>
      <c r="H111" s="467" t="s">
        <v>23</v>
      </c>
      <c r="I111" s="468" t="s">
        <v>24</v>
      </c>
      <c r="J111" s="469" t="s">
        <v>23</v>
      </c>
      <c r="K111" s="468" t="s">
        <v>24</v>
      </c>
      <c r="L111" s="469" t="s">
        <v>23</v>
      </c>
      <c r="M111" s="468" t="s">
        <v>24</v>
      </c>
      <c r="N111" s="467" t="s">
        <v>27</v>
      </c>
      <c r="O111" s="470" t="s">
        <v>28</v>
      </c>
    </row>
    <row r="112" spans="1:15" s="20" customFormat="1" ht="20.25" customHeight="1">
      <c r="A112" s="52"/>
      <c r="B112" s="84"/>
      <c r="C112" s="85"/>
      <c r="D112" s="67"/>
      <c r="E112" s="77"/>
      <c r="F112" s="57"/>
      <c r="G112" s="72"/>
      <c r="H112" s="471"/>
      <c r="I112" s="472" t="str">
        <f t="shared" ref="I112:I133" si="16">IF(H112="","",ROUNDDOWN(H112*F112,0))</f>
        <v/>
      </c>
      <c r="J112" s="473"/>
      <c r="K112" s="472" t="str">
        <f t="shared" ref="K112:K133" si="17">IF(J112="","",ROUNDDOWN(J112*$F112,0))</f>
        <v/>
      </c>
      <c r="L112" s="473"/>
      <c r="M112" s="474" t="str">
        <f t="shared" ref="M112:M133" si="18">IF(L112="","",ROUNDDOWN(L112*$F112,0))</f>
        <v/>
      </c>
      <c r="N112" s="471" t="str">
        <f>IF(F112="","",INT(HLOOKUP(N110,H110:M133,3,FALSE)*O109))</f>
        <v/>
      </c>
      <c r="O112" s="475" t="str">
        <f t="shared" ref="O112:O133" si="19">IF(N112="","",IF(N112&lt;10,INT(N112),IF(N112&lt;10000,ROUNDDOWN(N112,-1),ROUNDDOWN(N112,-2))))</f>
        <v/>
      </c>
    </row>
    <row r="113" spans="1:15" s="20" customFormat="1" ht="20.25" customHeight="1">
      <c r="A113" s="2630">
        <v>710</v>
      </c>
      <c r="B113" s="2631">
        <v>4</v>
      </c>
      <c r="C113" s="2632">
        <v>4</v>
      </c>
      <c r="D113" s="2633" t="s">
        <v>3093</v>
      </c>
      <c r="E113" s="2634" t="s">
        <v>3300</v>
      </c>
      <c r="F113" s="2635">
        <v>4</v>
      </c>
      <c r="G113" s="2636" t="s">
        <v>113</v>
      </c>
      <c r="H113" s="2637">
        <v>168750</v>
      </c>
      <c r="I113" s="477">
        <f t="shared" si="16"/>
        <v>675000</v>
      </c>
      <c r="J113" s="478"/>
      <c r="K113" s="477" t="str">
        <f t="shared" si="17"/>
        <v/>
      </c>
      <c r="L113" s="478"/>
      <c r="M113" s="479" t="str">
        <f t="shared" si="18"/>
        <v/>
      </c>
      <c r="N113" s="476">
        <f>IF(F113="","",INT(HLOOKUP(N110,H110:M133,4,FALSE)*O109))</f>
        <v>168750</v>
      </c>
      <c r="O113" s="480">
        <f t="shared" si="19"/>
        <v>168700</v>
      </c>
    </row>
    <row r="114" spans="1:15" s="20" customFormat="1" ht="20.25" customHeight="1">
      <c r="A114" s="2630">
        <v>711</v>
      </c>
      <c r="B114" s="2631">
        <v>4</v>
      </c>
      <c r="C114" s="2632">
        <v>4</v>
      </c>
      <c r="D114" s="2633" t="s">
        <v>3093</v>
      </c>
      <c r="E114" s="2634" t="s">
        <v>3300</v>
      </c>
      <c r="F114" s="2635">
        <v>4</v>
      </c>
      <c r="G114" s="2636" t="s">
        <v>113</v>
      </c>
      <c r="H114" s="2637">
        <v>168750</v>
      </c>
      <c r="I114" s="477">
        <f t="shared" si="16"/>
        <v>675000</v>
      </c>
      <c r="J114" s="478"/>
      <c r="K114" s="477" t="str">
        <f t="shared" si="17"/>
        <v/>
      </c>
      <c r="L114" s="478"/>
      <c r="M114" s="479" t="str">
        <f t="shared" si="18"/>
        <v/>
      </c>
      <c r="N114" s="476">
        <f>IF(F114="","",INT(HLOOKUP(N110,H110:M133,5,FALSE)*O109))</f>
        <v>168750</v>
      </c>
      <c r="O114" s="480">
        <f t="shared" si="19"/>
        <v>168700</v>
      </c>
    </row>
    <row r="115" spans="1:15" s="20" customFormat="1" ht="20.25" customHeight="1">
      <c r="A115" s="2630">
        <v>712</v>
      </c>
      <c r="B115" s="2631">
        <v>4</v>
      </c>
      <c r="C115" s="2632">
        <v>4</v>
      </c>
      <c r="D115" s="2633" t="s">
        <v>3094</v>
      </c>
      <c r="E115" s="2634" t="s">
        <v>3291</v>
      </c>
      <c r="F115" s="2635">
        <v>13</v>
      </c>
      <c r="G115" s="2636" t="s">
        <v>113</v>
      </c>
      <c r="H115" s="2637">
        <v>54500</v>
      </c>
      <c r="I115" s="477">
        <f t="shared" si="16"/>
        <v>708500</v>
      </c>
      <c r="J115" s="478"/>
      <c r="K115" s="477" t="str">
        <f t="shared" si="17"/>
        <v/>
      </c>
      <c r="L115" s="478"/>
      <c r="M115" s="479" t="str">
        <f t="shared" si="18"/>
        <v/>
      </c>
      <c r="N115" s="476">
        <f>IF(F115="","",INT(HLOOKUP(N110,H110:M133,6,FALSE)*O109))</f>
        <v>54500</v>
      </c>
      <c r="O115" s="480">
        <f t="shared" si="19"/>
        <v>54500</v>
      </c>
    </row>
    <row r="116" spans="1:15" s="20" customFormat="1" ht="20.25" customHeight="1">
      <c r="A116" s="53"/>
      <c r="B116" s="86"/>
      <c r="C116" s="87"/>
      <c r="D116" s="68"/>
      <c r="E116" s="78"/>
      <c r="F116" s="59"/>
      <c r="G116" s="73"/>
      <c r="H116" s="476"/>
      <c r="I116" s="477" t="str">
        <f t="shared" si="16"/>
        <v/>
      </c>
      <c r="J116" s="478"/>
      <c r="K116" s="477" t="str">
        <f t="shared" si="17"/>
        <v/>
      </c>
      <c r="L116" s="478"/>
      <c r="M116" s="479" t="str">
        <f t="shared" si="18"/>
        <v/>
      </c>
      <c r="N116" s="476" t="str">
        <f>IF(F116="","",INT(HLOOKUP(N110,H110:M133,7,FALSE)*O109))</f>
        <v/>
      </c>
      <c r="O116" s="480" t="str">
        <f t="shared" si="19"/>
        <v/>
      </c>
    </row>
    <row r="117" spans="1:15" s="20" customFormat="1" ht="20.25" customHeight="1">
      <c r="A117" s="53"/>
      <c r="B117" s="86"/>
      <c r="C117" s="87"/>
      <c r="D117" s="68"/>
      <c r="E117" s="78"/>
      <c r="F117" s="59"/>
      <c r="G117" s="73"/>
      <c r="H117" s="476"/>
      <c r="I117" s="477" t="str">
        <f t="shared" si="16"/>
        <v/>
      </c>
      <c r="J117" s="478"/>
      <c r="K117" s="477" t="str">
        <f t="shared" si="17"/>
        <v/>
      </c>
      <c r="L117" s="478"/>
      <c r="M117" s="479" t="str">
        <f t="shared" si="18"/>
        <v/>
      </c>
      <c r="N117" s="476" t="str">
        <f>IF(F117="","",INT(HLOOKUP(N110,H110:M133,8,FALSE)*O109))</f>
        <v/>
      </c>
      <c r="O117" s="480" t="str">
        <f t="shared" si="19"/>
        <v/>
      </c>
    </row>
    <row r="118" spans="1:15" s="20" customFormat="1" ht="20.25" customHeight="1">
      <c r="A118" s="53"/>
      <c r="B118" s="86"/>
      <c r="C118" s="87"/>
      <c r="D118" s="68"/>
      <c r="E118" s="78"/>
      <c r="F118" s="59"/>
      <c r="G118" s="73"/>
      <c r="H118" s="476"/>
      <c r="I118" s="477" t="str">
        <f t="shared" si="16"/>
        <v/>
      </c>
      <c r="J118" s="478"/>
      <c r="K118" s="477" t="str">
        <f t="shared" si="17"/>
        <v/>
      </c>
      <c r="L118" s="478"/>
      <c r="M118" s="479" t="str">
        <f t="shared" si="18"/>
        <v/>
      </c>
      <c r="N118" s="476" t="str">
        <f>IF(F118="","",INT(HLOOKUP(N110,H110:M133,9,FALSE)*O109))</f>
        <v/>
      </c>
      <c r="O118" s="480" t="str">
        <f t="shared" si="19"/>
        <v/>
      </c>
    </row>
    <row r="119" spans="1:15" s="20" customFormat="1" ht="20.25" customHeight="1">
      <c r="A119" s="53"/>
      <c r="B119" s="86"/>
      <c r="C119" s="87"/>
      <c r="D119" s="68"/>
      <c r="E119" s="78"/>
      <c r="F119" s="59"/>
      <c r="G119" s="73"/>
      <c r="H119" s="476"/>
      <c r="I119" s="477" t="str">
        <f t="shared" si="16"/>
        <v/>
      </c>
      <c r="J119" s="478"/>
      <c r="K119" s="477" t="str">
        <f t="shared" si="17"/>
        <v/>
      </c>
      <c r="L119" s="478"/>
      <c r="M119" s="479" t="str">
        <f t="shared" si="18"/>
        <v/>
      </c>
      <c r="N119" s="476" t="str">
        <f>IF(F119="","",INT(HLOOKUP(N110,H110:M133,10,FALSE)*O109))</f>
        <v/>
      </c>
      <c r="O119" s="480" t="str">
        <f t="shared" si="19"/>
        <v/>
      </c>
    </row>
    <row r="120" spans="1:15" s="20" customFormat="1" ht="20.25" customHeight="1">
      <c r="A120" s="53"/>
      <c r="B120" s="86"/>
      <c r="C120" s="87"/>
      <c r="D120" s="68"/>
      <c r="E120" s="78"/>
      <c r="F120" s="59"/>
      <c r="G120" s="73"/>
      <c r="H120" s="476"/>
      <c r="I120" s="477" t="str">
        <f t="shared" si="16"/>
        <v/>
      </c>
      <c r="J120" s="478"/>
      <c r="K120" s="477" t="str">
        <f t="shared" si="17"/>
        <v/>
      </c>
      <c r="L120" s="478"/>
      <c r="M120" s="479" t="str">
        <f t="shared" si="18"/>
        <v/>
      </c>
      <c r="N120" s="476" t="str">
        <f>IF(F120="","",INT(HLOOKUP(N110,H110:M133,11,FALSE)*O109))</f>
        <v/>
      </c>
      <c r="O120" s="480" t="str">
        <f t="shared" si="19"/>
        <v/>
      </c>
    </row>
    <row r="121" spans="1:15" s="20" customFormat="1" ht="20.25" customHeight="1">
      <c r="A121" s="53"/>
      <c r="B121" s="86"/>
      <c r="C121" s="87"/>
      <c r="D121" s="68"/>
      <c r="E121" s="78"/>
      <c r="F121" s="59"/>
      <c r="G121" s="73"/>
      <c r="H121" s="476"/>
      <c r="I121" s="477" t="str">
        <f t="shared" si="16"/>
        <v/>
      </c>
      <c r="J121" s="478"/>
      <c r="K121" s="477" t="str">
        <f t="shared" si="17"/>
        <v/>
      </c>
      <c r="L121" s="478"/>
      <c r="M121" s="479" t="str">
        <f t="shared" si="18"/>
        <v/>
      </c>
      <c r="N121" s="476" t="str">
        <f>IF(F121="","",INT(HLOOKUP(N110,H110:M133,12,FALSE)*O109))</f>
        <v/>
      </c>
      <c r="O121" s="480" t="str">
        <f t="shared" si="19"/>
        <v/>
      </c>
    </row>
    <row r="122" spans="1:15" s="20" customFormat="1" ht="20.25" customHeight="1">
      <c r="A122" s="53"/>
      <c r="B122" s="86"/>
      <c r="C122" s="87"/>
      <c r="D122" s="68"/>
      <c r="E122" s="78"/>
      <c r="F122" s="59"/>
      <c r="G122" s="73"/>
      <c r="H122" s="476"/>
      <c r="I122" s="477" t="str">
        <f t="shared" si="16"/>
        <v/>
      </c>
      <c r="J122" s="478"/>
      <c r="K122" s="477" t="str">
        <f t="shared" si="17"/>
        <v/>
      </c>
      <c r="L122" s="478"/>
      <c r="M122" s="479" t="str">
        <f t="shared" si="18"/>
        <v/>
      </c>
      <c r="N122" s="476" t="str">
        <f>IF(F122="","",INT(HLOOKUP(N110,H110:M133,13,FALSE)*O109))</f>
        <v/>
      </c>
      <c r="O122" s="480" t="str">
        <f t="shared" si="19"/>
        <v/>
      </c>
    </row>
    <row r="123" spans="1:15" s="20" customFormat="1" ht="20.25" customHeight="1">
      <c r="A123" s="53"/>
      <c r="B123" s="86"/>
      <c r="C123" s="87"/>
      <c r="D123" s="68"/>
      <c r="E123" s="78"/>
      <c r="F123" s="59"/>
      <c r="G123" s="73"/>
      <c r="H123" s="476"/>
      <c r="I123" s="477" t="str">
        <f t="shared" si="16"/>
        <v/>
      </c>
      <c r="J123" s="478"/>
      <c r="K123" s="477" t="str">
        <f t="shared" si="17"/>
        <v/>
      </c>
      <c r="L123" s="478"/>
      <c r="M123" s="479" t="str">
        <f t="shared" si="18"/>
        <v/>
      </c>
      <c r="N123" s="476" t="str">
        <f>IF(F123="","",INT(HLOOKUP(N110,H110:M133,14,FALSE)*O109))</f>
        <v/>
      </c>
      <c r="O123" s="480" t="str">
        <f t="shared" si="19"/>
        <v/>
      </c>
    </row>
    <row r="124" spans="1:15" s="20" customFormat="1" ht="20.25" customHeight="1">
      <c r="A124" s="53"/>
      <c r="B124" s="86"/>
      <c r="C124" s="87"/>
      <c r="D124" s="68"/>
      <c r="E124" s="78"/>
      <c r="F124" s="59"/>
      <c r="G124" s="73"/>
      <c r="H124" s="476"/>
      <c r="I124" s="477" t="str">
        <f t="shared" si="16"/>
        <v/>
      </c>
      <c r="J124" s="478"/>
      <c r="K124" s="477" t="str">
        <f t="shared" si="17"/>
        <v/>
      </c>
      <c r="L124" s="478"/>
      <c r="M124" s="479" t="str">
        <f t="shared" si="18"/>
        <v/>
      </c>
      <c r="N124" s="476" t="str">
        <f>IF(F124="","",INT(HLOOKUP(N110,H110:M133,15,FALSE)*O109))</f>
        <v/>
      </c>
      <c r="O124" s="480" t="str">
        <f t="shared" si="19"/>
        <v/>
      </c>
    </row>
    <row r="125" spans="1:15" s="20" customFormat="1" ht="20.25" customHeight="1">
      <c r="A125" s="53"/>
      <c r="B125" s="86"/>
      <c r="C125" s="87"/>
      <c r="D125" s="68"/>
      <c r="E125" s="78"/>
      <c r="F125" s="59"/>
      <c r="G125" s="73"/>
      <c r="H125" s="476"/>
      <c r="I125" s="477" t="str">
        <f t="shared" si="16"/>
        <v/>
      </c>
      <c r="J125" s="478"/>
      <c r="K125" s="477" t="str">
        <f t="shared" si="17"/>
        <v/>
      </c>
      <c r="L125" s="478"/>
      <c r="M125" s="479" t="str">
        <f t="shared" si="18"/>
        <v/>
      </c>
      <c r="N125" s="476" t="str">
        <f>IF(F125="","",INT(HLOOKUP(N110,H110:M133,16,FALSE)*O109))</f>
        <v/>
      </c>
      <c r="O125" s="480" t="str">
        <f t="shared" si="19"/>
        <v/>
      </c>
    </row>
    <row r="126" spans="1:15" s="20" customFormat="1" ht="20.25" customHeight="1">
      <c r="A126" s="53"/>
      <c r="B126" s="86"/>
      <c r="C126" s="87"/>
      <c r="D126" s="68"/>
      <c r="E126" s="78"/>
      <c r="F126" s="59"/>
      <c r="G126" s="73"/>
      <c r="H126" s="476"/>
      <c r="I126" s="477" t="str">
        <f t="shared" si="16"/>
        <v/>
      </c>
      <c r="J126" s="478"/>
      <c r="K126" s="477" t="str">
        <f t="shared" si="17"/>
        <v/>
      </c>
      <c r="L126" s="478"/>
      <c r="M126" s="479" t="str">
        <f t="shared" si="18"/>
        <v/>
      </c>
      <c r="N126" s="476" t="str">
        <f>IF(F126="","",INT(HLOOKUP(N110,H110:M133,17,FALSE)*O109))</f>
        <v/>
      </c>
      <c r="O126" s="480" t="str">
        <f t="shared" si="19"/>
        <v/>
      </c>
    </row>
    <row r="127" spans="1:15" s="20" customFormat="1" ht="20.25" customHeight="1">
      <c r="A127" s="53"/>
      <c r="B127" s="86"/>
      <c r="C127" s="87"/>
      <c r="D127" s="68"/>
      <c r="E127" s="78"/>
      <c r="F127" s="59"/>
      <c r="G127" s="73"/>
      <c r="H127" s="476"/>
      <c r="I127" s="477" t="str">
        <f t="shared" si="16"/>
        <v/>
      </c>
      <c r="J127" s="478"/>
      <c r="K127" s="477" t="str">
        <f t="shared" si="17"/>
        <v/>
      </c>
      <c r="L127" s="478"/>
      <c r="M127" s="479" t="str">
        <f t="shared" si="18"/>
        <v/>
      </c>
      <c r="N127" s="476" t="str">
        <f>IF(F127="","",INT(HLOOKUP(N110,H110:M133,18,FALSE)*O109))</f>
        <v/>
      </c>
      <c r="O127" s="480" t="str">
        <f t="shared" si="19"/>
        <v/>
      </c>
    </row>
    <row r="128" spans="1:15" s="20" customFormat="1" ht="20.25" customHeight="1">
      <c r="A128" s="53"/>
      <c r="B128" s="86"/>
      <c r="C128" s="87"/>
      <c r="D128" s="68"/>
      <c r="E128" s="78"/>
      <c r="F128" s="59"/>
      <c r="G128" s="73"/>
      <c r="H128" s="476"/>
      <c r="I128" s="477" t="str">
        <f t="shared" si="16"/>
        <v/>
      </c>
      <c r="J128" s="478"/>
      <c r="K128" s="477" t="str">
        <f t="shared" si="17"/>
        <v/>
      </c>
      <c r="L128" s="478"/>
      <c r="M128" s="479" t="str">
        <f t="shared" si="18"/>
        <v/>
      </c>
      <c r="N128" s="476" t="str">
        <f>IF(F128="","",INT(HLOOKUP(N110,H110:M133,19,FALSE)*O109))</f>
        <v/>
      </c>
      <c r="O128" s="480" t="str">
        <f t="shared" si="19"/>
        <v/>
      </c>
    </row>
    <row r="129" spans="1:15" s="20" customFormat="1" ht="20.25" customHeight="1">
      <c r="A129" s="53"/>
      <c r="B129" s="86"/>
      <c r="C129" s="87"/>
      <c r="D129" s="68"/>
      <c r="E129" s="78"/>
      <c r="F129" s="59"/>
      <c r="G129" s="73"/>
      <c r="H129" s="476"/>
      <c r="I129" s="477" t="str">
        <f t="shared" si="16"/>
        <v/>
      </c>
      <c r="J129" s="478"/>
      <c r="K129" s="477" t="str">
        <f t="shared" si="17"/>
        <v/>
      </c>
      <c r="L129" s="478"/>
      <c r="M129" s="479" t="str">
        <f t="shared" si="18"/>
        <v/>
      </c>
      <c r="N129" s="476" t="str">
        <f>IF(F129="","",INT(HLOOKUP(N110,H110:M133,20,FALSE)*O109))</f>
        <v/>
      </c>
      <c r="O129" s="480" t="str">
        <f t="shared" si="19"/>
        <v/>
      </c>
    </row>
    <row r="130" spans="1:15" s="20" customFormat="1" ht="20.25" customHeight="1">
      <c r="A130" s="53"/>
      <c r="B130" s="86"/>
      <c r="C130" s="87"/>
      <c r="D130" s="68"/>
      <c r="E130" s="78"/>
      <c r="F130" s="59"/>
      <c r="G130" s="73"/>
      <c r="H130" s="476"/>
      <c r="I130" s="477" t="str">
        <f t="shared" si="16"/>
        <v/>
      </c>
      <c r="J130" s="478"/>
      <c r="K130" s="477" t="str">
        <f t="shared" si="17"/>
        <v/>
      </c>
      <c r="L130" s="478"/>
      <c r="M130" s="479" t="str">
        <f t="shared" si="18"/>
        <v/>
      </c>
      <c r="N130" s="476" t="str">
        <f>IF(F130="","",INT(HLOOKUP(N110,H110:M133,21,FALSE)*O109))</f>
        <v/>
      </c>
      <c r="O130" s="480" t="str">
        <f t="shared" si="19"/>
        <v/>
      </c>
    </row>
    <row r="131" spans="1:15" s="20" customFormat="1" ht="20.25" customHeight="1">
      <c r="A131" s="53"/>
      <c r="B131" s="86"/>
      <c r="C131" s="87"/>
      <c r="D131" s="68"/>
      <c r="E131" s="78"/>
      <c r="F131" s="59"/>
      <c r="G131" s="73"/>
      <c r="H131" s="476"/>
      <c r="I131" s="477" t="str">
        <f t="shared" si="16"/>
        <v/>
      </c>
      <c r="J131" s="478"/>
      <c r="K131" s="477" t="str">
        <f t="shared" si="17"/>
        <v/>
      </c>
      <c r="L131" s="478"/>
      <c r="M131" s="479" t="str">
        <f t="shared" si="18"/>
        <v/>
      </c>
      <c r="N131" s="476" t="str">
        <f>IF(F131="","",INT(HLOOKUP(N110,H110:M133,22,FALSE)*O109))</f>
        <v/>
      </c>
      <c r="O131" s="480" t="str">
        <f t="shared" si="19"/>
        <v/>
      </c>
    </row>
    <row r="132" spans="1:15" s="20" customFormat="1" ht="20.25" customHeight="1">
      <c r="A132" s="53"/>
      <c r="B132" s="86"/>
      <c r="C132" s="87"/>
      <c r="D132" s="68"/>
      <c r="E132" s="78"/>
      <c r="F132" s="59"/>
      <c r="G132" s="73"/>
      <c r="H132" s="476"/>
      <c r="I132" s="477" t="str">
        <f t="shared" si="16"/>
        <v/>
      </c>
      <c r="J132" s="478"/>
      <c r="K132" s="477" t="str">
        <f t="shared" si="17"/>
        <v/>
      </c>
      <c r="L132" s="478"/>
      <c r="M132" s="479" t="str">
        <f t="shared" si="18"/>
        <v/>
      </c>
      <c r="N132" s="476" t="str">
        <f>IF(F132="","",INT(HLOOKUP(N110,H110:M133,23,FALSE)*O109))</f>
        <v/>
      </c>
      <c r="O132" s="480" t="str">
        <f t="shared" si="19"/>
        <v/>
      </c>
    </row>
    <row r="133" spans="1:15" s="20" customFormat="1" ht="20.25" customHeight="1" thickBot="1">
      <c r="A133" s="54"/>
      <c r="B133" s="88"/>
      <c r="C133" s="89"/>
      <c r="D133" s="69"/>
      <c r="E133" s="79"/>
      <c r="F133" s="60"/>
      <c r="G133" s="74"/>
      <c r="H133" s="481"/>
      <c r="I133" s="482" t="str">
        <f t="shared" si="16"/>
        <v/>
      </c>
      <c r="J133" s="483"/>
      <c r="K133" s="482" t="str">
        <f t="shared" si="17"/>
        <v/>
      </c>
      <c r="L133" s="483"/>
      <c r="M133" s="484" t="str">
        <f t="shared" si="18"/>
        <v/>
      </c>
      <c r="N133" s="481" t="str">
        <f>IF(F133="","",INT(HLOOKUP(N110,H110:M133,24,FALSE)*O109))</f>
        <v/>
      </c>
      <c r="O133" s="485" t="str">
        <f t="shared" si="19"/>
        <v/>
      </c>
    </row>
    <row r="134" spans="1:15" s="20" customFormat="1" ht="20.25" customHeight="1" thickTop="1" thickBot="1">
      <c r="A134" s="28"/>
      <c r="B134" s="29"/>
      <c r="C134" s="29"/>
      <c r="D134" s="30" t="str">
        <f>IF(G134="","合      計","")</f>
        <v>合      計</v>
      </c>
      <c r="E134" s="31" t="s">
        <v>61</v>
      </c>
      <c r="F134" s="31"/>
      <c r="G134" s="51"/>
      <c r="H134" s="486"/>
      <c r="I134" s="487">
        <f>IF($G134="",IF(SUM(I112:I133)=0,"",SUM(I112:I133)),IF(I107="","",SUM(I112:I133)+I107))</f>
        <v>2058500</v>
      </c>
      <c r="J134" s="488"/>
      <c r="K134" s="487" t="str">
        <f>IF(G134="",IF(SUM(K112:K133)=0,"",SUM(K112:K133)),IF(K107="","",SUM(K112:K133)+K107))</f>
        <v/>
      </c>
      <c r="L134" s="488"/>
      <c r="M134" s="489" t="str">
        <f>IF(G134="",IF(SUM(M112:M133)=0,"",SUM(M112:M133)),IF(M107="","",SUM(M112:M133)+M107))</f>
        <v/>
      </c>
      <c r="N134" s="490" t="s">
        <v>29</v>
      </c>
      <c r="O134" s="491">
        <f>IF(G161="",MIN(I134,K134,M134),"")</f>
        <v>2058500</v>
      </c>
    </row>
    <row r="135" spans="1:15" s="20" customFormat="1" ht="20.25" customHeight="1">
      <c r="A135" s="24"/>
      <c r="B135" s="24"/>
      <c r="C135" s="24"/>
      <c r="G135" s="24"/>
      <c r="H135" s="32"/>
      <c r="I135" s="32"/>
      <c r="J135" s="32"/>
      <c r="K135" s="32"/>
      <c r="L135" s="32"/>
      <c r="M135" s="32"/>
      <c r="N135" s="20" t="str">
        <f>IF(B137="","EOL","")</f>
        <v/>
      </c>
      <c r="O135" s="32">
        <f>+O108+1</f>
        <v>5</v>
      </c>
    </row>
    <row r="136" spans="1:15" s="20" customFormat="1" ht="20.25" customHeight="1" thickBot="1">
      <c r="A136" s="2858" t="s">
        <v>3080</v>
      </c>
      <c r="B136" s="2858"/>
      <c r="C136" s="2858"/>
      <c r="D136" s="2858"/>
      <c r="E136" s="2858"/>
      <c r="F136" s="2858"/>
      <c r="G136" s="2858"/>
      <c r="H136" s="2858"/>
      <c r="I136" s="2858"/>
      <c r="J136" s="2858"/>
      <c r="K136" s="2858"/>
      <c r="L136" s="2858"/>
      <c r="M136" s="2858"/>
      <c r="N136" s="24" t="s">
        <v>85</v>
      </c>
      <c r="O136" s="217">
        <f>+O109</f>
        <v>1</v>
      </c>
    </row>
    <row r="137" spans="1:15" s="24" customFormat="1" ht="20.25" customHeight="1">
      <c r="A137" s="21"/>
      <c r="B137" s="22" t="s">
        <v>16</v>
      </c>
      <c r="C137" s="23" t="s">
        <v>18</v>
      </c>
      <c r="D137" s="23"/>
      <c r="E137" s="75"/>
      <c r="F137" s="55"/>
      <c r="G137" s="70"/>
      <c r="H137" s="2866" t="s">
        <v>236</v>
      </c>
      <c r="I137" s="2867"/>
      <c r="J137" s="2868" t="s">
        <v>237</v>
      </c>
      <c r="K137" s="2867"/>
      <c r="L137" s="2868" t="s">
        <v>238</v>
      </c>
      <c r="M137" s="2869"/>
      <c r="N137" s="2863" t="str">
        <f>IF(G188="",IF(O161=I161,H137,IF(O161=K161,J137,L137)),N164)</f>
        <v>A:</v>
      </c>
      <c r="O137" s="2864"/>
    </row>
    <row r="138" spans="1:15" s="24" customFormat="1" ht="20.25" customHeight="1" thickBot="1">
      <c r="A138" s="25" t="s">
        <v>26</v>
      </c>
      <c r="B138" s="26" t="s">
        <v>17</v>
      </c>
      <c r="C138" s="27" t="s">
        <v>17</v>
      </c>
      <c r="D138" s="27" t="s">
        <v>19</v>
      </c>
      <c r="E138" s="76" t="s">
        <v>20</v>
      </c>
      <c r="F138" s="56" t="s">
        <v>21</v>
      </c>
      <c r="G138" s="71" t="s">
        <v>22</v>
      </c>
      <c r="H138" s="467" t="s">
        <v>23</v>
      </c>
      <c r="I138" s="468" t="s">
        <v>24</v>
      </c>
      <c r="J138" s="469" t="s">
        <v>23</v>
      </c>
      <c r="K138" s="468" t="s">
        <v>24</v>
      </c>
      <c r="L138" s="469" t="s">
        <v>23</v>
      </c>
      <c r="M138" s="468" t="s">
        <v>24</v>
      </c>
      <c r="N138" s="467" t="s">
        <v>27</v>
      </c>
      <c r="O138" s="470" t="s">
        <v>28</v>
      </c>
    </row>
    <row r="139" spans="1:15" s="20" customFormat="1" ht="20.25" customHeight="1">
      <c r="A139" s="52"/>
      <c r="B139" s="84"/>
      <c r="C139" s="85"/>
      <c r="D139" s="2626" t="s">
        <v>3102</v>
      </c>
      <c r="E139" s="77"/>
      <c r="F139" s="57"/>
      <c r="G139" s="72"/>
      <c r="H139" s="471"/>
      <c r="I139" s="472" t="str">
        <f t="shared" ref="I139:I160" si="20">IF(H139="","",ROUNDDOWN(H139*F139,0))</f>
        <v/>
      </c>
      <c r="J139" s="473"/>
      <c r="K139" s="472" t="str">
        <f t="shared" ref="K139:K160" si="21">IF(J139="","",ROUNDDOWN(J139*$F139,0))</f>
        <v/>
      </c>
      <c r="L139" s="473"/>
      <c r="M139" s="474" t="str">
        <f t="shared" ref="M139:M160" si="22">IF(L139="","",ROUNDDOWN(L139*$F139,0))</f>
        <v/>
      </c>
      <c r="N139" s="471" t="str">
        <f>IF(F139="","",INT(HLOOKUP(N137,H137:M160,3,FALSE)*O136))</f>
        <v/>
      </c>
      <c r="O139" s="475" t="str">
        <f t="shared" ref="O139:O160" si="23">IF(N139="","",IF(N139&lt;10,INT(N139),IF(N139&lt;10000,ROUNDDOWN(N139,-1),ROUNDDOWN(N139,-2))))</f>
        <v/>
      </c>
    </row>
    <row r="140" spans="1:15" s="20" customFormat="1" ht="20.25" customHeight="1">
      <c r="A140" s="2588">
        <v>701</v>
      </c>
      <c r="B140" s="2589">
        <v>4</v>
      </c>
      <c r="C140" s="2590">
        <v>4</v>
      </c>
      <c r="D140" s="2591" t="s">
        <v>3081</v>
      </c>
      <c r="E140" s="2592" t="s">
        <v>3060</v>
      </c>
      <c r="F140" s="2593">
        <v>3</v>
      </c>
      <c r="G140" s="2594" t="s">
        <v>3082</v>
      </c>
      <c r="H140" s="2595">
        <v>2000</v>
      </c>
      <c r="I140" s="2596">
        <f t="shared" si="20"/>
        <v>6000</v>
      </c>
      <c r="J140" s="478"/>
      <c r="K140" s="477" t="str">
        <f t="shared" si="21"/>
        <v/>
      </c>
      <c r="L140" s="478"/>
      <c r="M140" s="479" t="str">
        <f t="shared" si="22"/>
        <v/>
      </c>
      <c r="N140" s="476">
        <f>IF(F140="","",INT(HLOOKUP(N137,H137:M160,4,FALSE)*O136))</f>
        <v>2000</v>
      </c>
      <c r="O140" s="480">
        <f t="shared" si="23"/>
        <v>2000</v>
      </c>
    </row>
    <row r="141" spans="1:15" s="20" customFormat="1" ht="20.25" customHeight="1">
      <c r="A141" s="2588">
        <v>702</v>
      </c>
      <c r="B141" s="2589">
        <v>4</v>
      </c>
      <c r="C141" s="2590">
        <v>4</v>
      </c>
      <c r="D141" s="2591" t="s">
        <v>3083</v>
      </c>
      <c r="E141" s="2592" t="s">
        <v>3084</v>
      </c>
      <c r="F141" s="2593">
        <v>3</v>
      </c>
      <c r="G141" s="2594" t="s">
        <v>3082</v>
      </c>
      <c r="H141" s="2595">
        <v>900</v>
      </c>
      <c r="I141" s="2596">
        <f t="shared" si="20"/>
        <v>2700</v>
      </c>
      <c r="J141" s="478"/>
      <c r="K141" s="477" t="str">
        <f t="shared" si="21"/>
        <v/>
      </c>
      <c r="L141" s="478"/>
      <c r="M141" s="479" t="str">
        <f t="shared" si="22"/>
        <v/>
      </c>
      <c r="N141" s="476">
        <f>IF(F141="","",INT(HLOOKUP(N137,H137:M160,5,FALSE)*O136))</f>
        <v>900</v>
      </c>
      <c r="O141" s="480">
        <f t="shared" si="23"/>
        <v>900</v>
      </c>
    </row>
    <row r="142" spans="1:15" s="20" customFormat="1" ht="20.25" customHeight="1">
      <c r="A142" s="2588">
        <v>703</v>
      </c>
      <c r="B142" s="2589">
        <v>4</v>
      </c>
      <c r="C142" s="2590">
        <v>4</v>
      </c>
      <c r="D142" s="2591" t="s">
        <v>3085</v>
      </c>
      <c r="E142" s="2592" t="s">
        <v>3060</v>
      </c>
      <c r="F142" s="2593">
        <v>4</v>
      </c>
      <c r="G142" s="2594" t="s">
        <v>3082</v>
      </c>
      <c r="H142" s="2595">
        <v>2000</v>
      </c>
      <c r="I142" s="2596">
        <f t="shared" si="20"/>
        <v>8000</v>
      </c>
      <c r="J142" s="478"/>
      <c r="K142" s="477" t="str">
        <f t="shared" si="21"/>
        <v/>
      </c>
      <c r="L142" s="478"/>
      <c r="M142" s="479" t="str">
        <f t="shared" si="22"/>
        <v/>
      </c>
      <c r="N142" s="476">
        <f>IF(F142="","",INT(HLOOKUP(N137,H137:M160,6,FALSE)*O136))</f>
        <v>2000</v>
      </c>
      <c r="O142" s="480">
        <f t="shared" si="23"/>
        <v>2000</v>
      </c>
    </row>
    <row r="143" spans="1:15" s="20" customFormat="1" ht="20.25" customHeight="1">
      <c r="A143" s="2588">
        <v>704</v>
      </c>
      <c r="B143" s="2589">
        <v>4</v>
      </c>
      <c r="C143" s="2590">
        <v>4</v>
      </c>
      <c r="D143" s="2591" t="s">
        <v>3085</v>
      </c>
      <c r="E143" s="2592" t="s">
        <v>3063</v>
      </c>
      <c r="F143" s="2593">
        <v>8</v>
      </c>
      <c r="G143" s="2594" t="s">
        <v>3082</v>
      </c>
      <c r="H143" s="2595">
        <v>900</v>
      </c>
      <c r="I143" s="2596">
        <f t="shared" si="20"/>
        <v>7200</v>
      </c>
      <c r="J143" s="478"/>
      <c r="K143" s="477" t="str">
        <f t="shared" si="21"/>
        <v/>
      </c>
      <c r="L143" s="478"/>
      <c r="M143" s="479" t="str">
        <f t="shared" si="22"/>
        <v/>
      </c>
      <c r="N143" s="476">
        <f>IF(F143="","",INT(HLOOKUP(N137,H137:M160,7,FALSE)*O136))</f>
        <v>900</v>
      </c>
      <c r="O143" s="480">
        <f t="shared" si="23"/>
        <v>900</v>
      </c>
    </row>
    <row r="144" spans="1:15" s="20" customFormat="1" ht="20.25" customHeight="1">
      <c r="A144" s="2588">
        <v>705</v>
      </c>
      <c r="B144" s="2589">
        <v>4</v>
      </c>
      <c r="C144" s="2590">
        <v>4</v>
      </c>
      <c r="D144" s="2591" t="s">
        <v>3086</v>
      </c>
      <c r="E144" s="2592" t="s">
        <v>3066</v>
      </c>
      <c r="F144" s="2593">
        <v>4</v>
      </c>
      <c r="G144" s="2594" t="s">
        <v>3087</v>
      </c>
      <c r="H144" s="2595">
        <v>800</v>
      </c>
      <c r="I144" s="2596">
        <f t="shared" si="20"/>
        <v>3200</v>
      </c>
      <c r="J144" s="478"/>
      <c r="K144" s="477" t="str">
        <f t="shared" si="21"/>
        <v/>
      </c>
      <c r="L144" s="478"/>
      <c r="M144" s="479" t="str">
        <f t="shared" si="22"/>
        <v/>
      </c>
      <c r="N144" s="476">
        <f>IF(F144="","",INT(HLOOKUP(N137,H137:M160,8,FALSE)*O136))</f>
        <v>800</v>
      </c>
      <c r="O144" s="480">
        <f t="shared" si="23"/>
        <v>800</v>
      </c>
    </row>
    <row r="145" spans="1:15" s="20" customFormat="1" ht="20.25" customHeight="1">
      <c r="A145" s="2588">
        <v>706</v>
      </c>
      <c r="B145" s="2589">
        <v>4</v>
      </c>
      <c r="C145" s="2590">
        <v>4</v>
      </c>
      <c r="D145" s="2591" t="s">
        <v>3088</v>
      </c>
      <c r="E145" s="2592" t="s">
        <v>3089</v>
      </c>
      <c r="F145" s="2593">
        <v>1</v>
      </c>
      <c r="G145" s="2594" t="s">
        <v>3087</v>
      </c>
      <c r="H145" s="2595">
        <v>1800</v>
      </c>
      <c r="I145" s="2596">
        <f t="shared" si="20"/>
        <v>1800</v>
      </c>
      <c r="J145" s="478"/>
      <c r="K145" s="477" t="str">
        <f t="shared" si="21"/>
        <v/>
      </c>
      <c r="L145" s="478"/>
      <c r="M145" s="479" t="str">
        <f t="shared" si="22"/>
        <v/>
      </c>
      <c r="N145" s="476">
        <f>IF(F145="","",INT(HLOOKUP(N137,H137:M160,9,FALSE)*O136))</f>
        <v>1800</v>
      </c>
      <c r="O145" s="480">
        <f t="shared" si="23"/>
        <v>1800</v>
      </c>
    </row>
    <row r="146" spans="1:15" s="20" customFormat="1" ht="20.25" customHeight="1">
      <c r="A146" s="2588">
        <v>707</v>
      </c>
      <c r="B146" s="2589">
        <v>4</v>
      </c>
      <c r="C146" s="2590">
        <v>4</v>
      </c>
      <c r="D146" s="2591" t="s">
        <v>3090</v>
      </c>
      <c r="E146" s="2592" t="s">
        <v>3091</v>
      </c>
      <c r="F146" s="2593">
        <v>8</v>
      </c>
      <c r="G146" s="2594" t="s">
        <v>3087</v>
      </c>
      <c r="H146" s="2595">
        <v>800</v>
      </c>
      <c r="I146" s="2596">
        <f t="shared" si="20"/>
        <v>6400</v>
      </c>
      <c r="J146" s="478"/>
      <c r="K146" s="477" t="str">
        <f t="shared" si="21"/>
        <v/>
      </c>
      <c r="L146" s="478"/>
      <c r="M146" s="479" t="str">
        <f t="shared" si="22"/>
        <v/>
      </c>
      <c r="N146" s="476">
        <f>IF(F146="","",INT(HLOOKUP(N137,H137:M160,10,FALSE)*O136))</f>
        <v>800</v>
      </c>
      <c r="O146" s="480">
        <f t="shared" si="23"/>
        <v>800</v>
      </c>
    </row>
    <row r="147" spans="1:15" s="20" customFormat="1" ht="20.25" customHeight="1">
      <c r="A147" s="2588">
        <v>708</v>
      </c>
      <c r="B147" s="2589">
        <v>4</v>
      </c>
      <c r="C147" s="2590">
        <v>4</v>
      </c>
      <c r="D147" s="2591" t="s">
        <v>3090</v>
      </c>
      <c r="E147" s="2592" t="s">
        <v>3089</v>
      </c>
      <c r="F147" s="2593">
        <v>3</v>
      </c>
      <c r="G147" s="2594" t="s">
        <v>3087</v>
      </c>
      <c r="H147" s="2595">
        <v>1800</v>
      </c>
      <c r="I147" s="2596">
        <f t="shared" si="20"/>
        <v>5400</v>
      </c>
      <c r="J147" s="478"/>
      <c r="K147" s="477" t="str">
        <f t="shared" si="21"/>
        <v/>
      </c>
      <c r="L147" s="478"/>
      <c r="M147" s="479" t="str">
        <f t="shared" si="22"/>
        <v/>
      </c>
      <c r="N147" s="476">
        <f>IF(F147="","",INT(HLOOKUP(N137,H137:M160,11,FALSE)*O136))</f>
        <v>1800</v>
      </c>
      <c r="O147" s="480">
        <f t="shared" si="23"/>
        <v>1800</v>
      </c>
    </row>
    <row r="148" spans="1:15" s="20" customFormat="1" ht="20.25" customHeight="1">
      <c r="A148" s="2588">
        <v>709</v>
      </c>
      <c r="B148" s="2589">
        <v>4</v>
      </c>
      <c r="C148" s="2590">
        <v>4</v>
      </c>
      <c r="D148" s="2591" t="s">
        <v>3092</v>
      </c>
      <c r="E148" s="2592"/>
      <c r="F148" s="2593">
        <v>1</v>
      </c>
      <c r="G148" s="2594" t="s">
        <v>2462</v>
      </c>
      <c r="H148" s="2597">
        <v>52900</v>
      </c>
      <c r="I148" s="2596">
        <f t="shared" si="20"/>
        <v>52900</v>
      </c>
      <c r="J148" s="478"/>
      <c r="K148" s="477" t="str">
        <f t="shared" si="21"/>
        <v/>
      </c>
      <c r="L148" s="478"/>
      <c r="M148" s="479" t="str">
        <f t="shared" si="22"/>
        <v/>
      </c>
      <c r="N148" s="476">
        <f>IF(F148="","",INT(HLOOKUP(N137,H137:M160,12,FALSE)*O136))</f>
        <v>52900</v>
      </c>
      <c r="O148" s="480">
        <f t="shared" si="23"/>
        <v>52900</v>
      </c>
    </row>
    <row r="149" spans="1:15" s="20" customFormat="1" ht="20.25" customHeight="1">
      <c r="A149" s="2630"/>
      <c r="B149" s="2631"/>
      <c r="C149" s="2632"/>
      <c r="D149" s="2633"/>
      <c r="E149" s="2634"/>
      <c r="F149" s="2635"/>
      <c r="G149" s="2636"/>
      <c r="H149" s="2637"/>
      <c r="I149" s="2638" t="str">
        <f t="shared" si="20"/>
        <v/>
      </c>
      <c r="J149" s="478"/>
      <c r="K149" s="477" t="str">
        <f t="shared" si="21"/>
        <v/>
      </c>
      <c r="L149" s="478"/>
      <c r="M149" s="479" t="str">
        <f t="shared" si="22"/>
        <v/>
      </c>
      <c r="N149" s="476" t="str">
        <f>IF(F149="","",INT(HLOOKUP(N137,H137:M160,13,FALSE)*O136))</f>
        <v/>
      </c>
      <c r="O149" s="480" t="str">
        <f t="shared" si="23"/>
        <v/>
      </c>
    </row>
    <row r="150" spans="1:15" s="20" customFormat="1" ht="20.25" customHeight="1">
      <c r="A150" s="2630"/>
      <c r="B150" s="2631"/>
      <c r="C150" s="2632"/>
      <c r="D150" s="2633"/>
      <c r="E150" s="2634"/>
      <c r="F150" s="2635"/>
      <c r="G150" s="2636"/>
      <c r="H150" s="2637"/>
      <c r="I150" s="2638" t="str">
        <f t="shared" si="20"/>
        <v/>
      </c>
      <c r="J150" s="478"/>
      <c r="K150" s="477" t="str">
        <f t="shared" si="21"/>
        <v/>
      </c>
      <c r="L150" s="478"/>
      <c r="M150" s="479" t="str">
        <f t="shared" si="22"/>
        <v/>
      </c>
      <c r="N150" s="476" t="str">
        <f>IF(F150="","",INT(HLOOKUP(N137,H137:M160,14,FALSE)*O136))</f>
        <v/>
      </c>
      <c r="O150" s="480" t="str">
        <f t="shared" si="23"/>
        <v/>
      </c>
    </row>
    <row r="151" spans="1:15" s="20" customFormat="1" ht="20.25" customHeight="1">
      <c r="A151" s="2630"/>
      <c r="B151" s="2631"/>
      <c r="C151" s="2632"/>
      <c r="D151" s="2633"/>
      <c r="E151" s="2634"/>
      <c r="F151" s="2635"/>
      <c r="G151" s="2636"/>
      <c r="H151" s="2637"/>
      <c r="I151" s="2638" t="str">
        <f t="shared" si="20"/>
        <v/>
      </c>
      <c r="J151" s="478"/>
      <c r="K151" s="477" t="str">
        <f t="shared" si="21"/>
        <v/>
      </c>
      <c r="L151" s="478"/>
      <c r="M151" s="479" t="str">
        <f t="shared" si="22"/>
        <v/>
      </c>
      <c r="N151" s="476" t="str">
        <f>IF(F151="","",INT(HLOOKUP(N137,H137:M160,15,FALSE)*O136))</f>
        <v/>
      </c>
      <c r="O151" s="480" t="str">
        <f t="shared" si="23"/>
        <v/>
      </c>
    </row>
    <row r="152" spans="1:15" s="20" customFormat="1" ht="20.25" customHeight="1">
      <c r="A152" s="2630"/>
      <c r="B152" s="2631"/>
      <c r="C152" s="2632"/>
      <c r="D152" s="2633"/>
      <c r="E152" s="2634"/>
      <c r="F152" s="2635"/>
      <c r="G152" s="2636"/>
      <c r="H152" s="2637"/>
      <c r="I152" s="2638" t="str">
        <f t="shared" si="20"/>
        <v/>
      </c>
      <c r="J152" s="478"/>
      <c r="K152" s="477" t="str">
        <f t="shared" si="21"/>
        <v/>
      </c>
      <c r="L152" s="478"/>
      <c r="M152" s="479" t="str">
        <f t="shared" si="22"/>
        <v/>
      </c>
      <c r="N152" s="476" t="str">
        <f>IF(F152="","",INT(HLOOKUP(N137,H137:M160,16,FALSE)*O136))</f>
        <v/>
      </c>
      <c r="O152" s="480" t="str">
        <f t="shared" si="23"/>
        <v/>
      </c>
    </row>
    <row r="153" spans="1:15" s="20" customFormat="1" ht="20.25" customHeight="1">
      <c r="A153" s="2630"/>
      <c r="B153" s="2631"/>
      <c r="C153" s="2632"/>
      <c r="D153" s="2633"/>
      <c r="E153" s="2634"/>
      <c r="F153" s="2635"/>
      <c r="G153" s="2636"/>
      <c r="H153" s="2637"/>
      <c r="I153" s="2638" t="str">
        <f t="shared" si="20"/>
        <v/>
      </c>
      <c r="J153" s="478"/>
      <c r="K153" s="477" t="str">
        <f t="shared" si="21"/>
        <v/>
      </c>
      <c r="L153" s="478"/>
      <c r="M153" s="479" t="str">
        <f t="shared" si="22"/>
        <v/>
      </c>
      <c r="N153" s="476" t="str">
        <f>IF(F153="","",INT(HLOOKUP(N137,H137:M160,17,FALSE)*O136))</f>
        <v/>
      </c>
      <c r="O153" s="480" t="str">
        <f t="shared" si="23"/>
        <v/>
      </c>
    </row>
    <row r="154" spans="1:15" s="20" customFormat="1" ht="20.25" customHeight="1">
      <c r="A154" s="53"/>
      <c r="B154" s="86"/>
      <c r="C154" s="87"/>
      <c r="D154" s="68"/>
      <c r="E154" s="78"/>
      <c r="F154" s="59"/>
      <c r="G154" s="73"/>
      <c r="H154" s="476"/>
      <c r="I154" s="477" t="str">
        <f t="shared" si="20"/>
        <v/>
      </c>
      <c r="J154" s="478"/>
      <c r="K154" s="477" t="str">
        <f t="shared" si="21"/>
        <v/>
      </c>
      <c r="L154" s="478"/>
      <c r="M154" s="479" t="str">
        <f t="shared" si="22"/>
        <v/>
      </c>
      <c r="N154" s="476" t="str">
        <f>IF(F154="","",INT(HLOOKUP(N137,H137:M160,18,FALSE)*O136))</f>
        <v/>
      </c>
      <c r="O154" s="480" t="str">
        <f t="shared" si="23"/>
        <v/>
      </c>
    </row>
    <row r="155" spans="1:15" s="20" customFormat="1" ht="20.25" customHeight="1">
      <c r="A155" s="53"/>
      <c r="B155" s="86"/>
      <c r="C155" s="87"/>
      <c r="D155" s="68"/>
      <c r="E155" s="78"/>
      <c r="F155" s="59"/>
      <c r="G155" s="73"/>
      <c r="H155" s="476"/>
      <c r="I155" s="477" t="str">
        <f t="shared" si="20"/>
        <v/>
      </c>
      <c r="J155" s="478"/>
      <c r="K155" s="477" t="str">
        <f t="shared" si="21"/>
        <v/>
      </c>
      <c r="L155" s="478"/>
      <c r="M155" s="479" t="str">
        <f t="shared" si="22"/>
        <v/>
      </c>
      <c r="N155" s="476" t="str">
        <f>IF(F155="","",INT(HLOOKUP(N137,H137:M160,19,FALSE)*O136))</f>
        <v/>
      </c>
      <c r="O155" s="480" t="str">
        <f t="shared" si="23"/>
        <v/>
      </c>
    </row>
    <row r="156" spans="1:15" s="20" customFormat="1" ht="20.25" customHeight="1">
      <c r="A156" s="53"/>
      <c r="B156" s="86"/>
      <c r="C156" s="87"/>
      <c r="D156" s="68"/>
      <c r="E156" s="78"/>
      <c r="F156" s="59"/>
      <c r="G156" s="73"/>
      <c r="H156" s="476"/>
      <c r="I156" s="477" t="str">
        <f t="shared" si="20"/>
        <v/>
      </c>
      <c r="J156" s="478"/>
      <c r="K156" s="477" t="str">
        <f t="shared" si="21"/>
        <v/>
      </c>
      <c r="L156" s="478"/>
      <c r="M156" s="479" t="str">
        <f t="shared" si="22"/>
        <v/>
      </c>
      <c r="N156" s="476" t="str">
        <f>IF(F156="","",INT(HLOOKUP(N137,H137:M160,20,FALSE)*O136))</f>
        <v/>
      </c>
      <c r="O156" s="480" t="str">
        <f t="shared" si="23"/>
        <v/>
      </c>
    </row>
    <row r="157" spans="1:15" s="20" customFormat="1" ht="20.25" customHeight="1">
      <c r="A157" s="53"/>
      <c r="B157" s="86"/>
      <c r="C157" s="87"/>
      <c r="D157" s="68"/>
      <c r="E157" s="78"/>
      <c r="F157" s="59"/>
      <c r="G157" s="73"/>
      <c r="H157" s="476"/>
      <c r="I157" s="477" t="str">
        <f t="shared" si="20"/>
        <v/>
      </c>
      <c r="J157" s="478"/>
      <c r="K157" s="477" t="str">
        <f t="shared" si="21"/>
        <v/>
      </c>
      <c r="L157" s="478"/>
      <c r="M157" s="479" t="str">
        <f t="shared" si="22"/>
        <v/>
      </c>
      <c r="N157" s="476" t="str">
        <f>IF(F157="","",INT(HLOOKUP(N137,H137:M160,21,FALSE)*O136))</f>
        <v/>
      </c>
      <c r="O157" s="480" t="str">
        <f t="shared" si="23"/>
        <v/>
      </c>
    </row>
    <row r="158" spans="1:15" s="20" customFormat="1" ht="20.25" customHeight="1">
      <c r="A158" s="53"/>
      <c r="B158" s="86"/>
      <c r="C158" s="87"/>
      <c r="D158" s="68"/>
      <c r="E158" s="78"/>
      <c r="F158" s="59"/>
      <c r="G158" s="73"/>
      <c r="H158" s="476"/>
      <c r="I158" s="477" t="str">
        <f t="shared" si="20"/>
        <v/>
      </c>
      <c r="J158" s="478"/>
      <c r="K158" s="477" t="str">
        <f t="shared" si="21"/>
        <v/>
      </c>
      <c r="L158" s="478"/>
      <c r="M158" s="479" t="str">
        <f t="shared" si="22"/>
        <v/>
      </c>
      <c r="N158" s="476" t="str">
        <f>IF(F158="","",INT(HLOOKUP(N137,H137:M160,22,FALSE)*O136))</f>
        <v/>
      </c>
      <c r="O158" s="480" t="str">
        <f t="shared" si="23"/>
        <v/>
      </c>
    </row>
    <row r="159" spans="1:15" s="20" customFormat="1" ht="20.25" customHeight="1">
      <c r="A159" s="53"/>
      <c r="B159" s="86"/>
      <c r="C159" s="87"/>
      <c r="D159" s="68"/>
      <c r="E159" s="78"/>
      <c r="F159" s="59"/>
      <c r="G159" s="73"/>
      <c r="H159" s="476"/>
      <c r="I159" s="477" t="str">
        <f t="shared" si="20"/>
        <v/>
      </c>
      <c r="J159" s="478"/>
      <c r="K159" s="477" t="str">
        <f t="shared" si="21"/>
        <v/>
      </c>
      <c r="L159" s="478"/>
      <c r="M159" s="479" t="str">
        <f t="shared" si="22"/>
        <v/>
      </c>
      <c r="N159" s="476" t="str">
        <f>IF(F159="","",INT(HLOOKUP(N137,H137:M160,23,FALSE)*O136))</f>
        <v/>
      </c>
      <c r="O159" s="480" t="str">
        <f t="shared" si="23"/>
        <v/>
      </c>
    </row>
    <row r="160" spans="1:15" s="20" customFormat="1" ht="20.25" customHeight="1" thickBot="1">
      <c r="A160" s="54"/>
      <c r="B160" s="88"/>
      <c r="C160" s="89"/>
      <c r="D160" s="69"/>
      <c r="E160" s="79"/>
      <c r="F160" s="60"/>
      <c r="G160" s="74"/>
      <c r="H160" s="481"/>
      <c r="I160" s="482" t="str">
        <f t="shared" si="20"/>
        <v/>
      </c>
      <c r="J160" s="483"/>
      <c r="K160" s="482" t="str">
        <f t="shared" si="21"/>
        <v/>
      </c>
      <c r="L160" s="483"/>
      <c r="M160" s="484" t="str">
        <f t="shared" si="22"/>
        <v/>
      </c>
      <c r="N160" s="481" t="str">
        <f>IF(F160="","",INT(HLOOKUP(N137,H137:M160,24,FALSE)*O136))</f>
        <v/>
      </c>
      <c r="O160" s="485" t="str">
        <f t="shared" si="23"/>
        <v/>
      </c>
    </row>
    <row r="161" spans="1:15" s="20" customFormat="1" ht="20.25" customHeight="1" thickTop="1" thickBot="1">
      <c r="A161" s="28"/>
      <c r="B161" s="29"/>
      <c r="C161" s="29"/>
      <c r="D161" s="30" t="str">
        <f>IF(G161="","合      計","")</f>
        <v>合      計</v>
      </c>
      <c r="E161" s="31" t="s">
        <v>61</v>
      </c>
      <c r="F161" s="31"/>
      <c r="G161" s="51"/>
      <c r="H161" s="486"/>
      <c r="I161" s="487">
        <f>IF($G161="",IF(SUM(I139:I160)=0,"",SUM(I139:I160)),IF(I80="","",SUM(I139:I160)+I80))</f>
        <v>93600</v>
      </c>
      <c r="J161" s="488"/>
      <c r="K161" s="487" t="str">
        <f>IF(G161="",IF(SUM(K139:K160)=0,"",SUM(K139:K160)),IF(K80="","",SUM(K139:K160)+K80))</f>
        <v/>
      </c>
      <c r="L161" s="488"/>
      <c r="M161" s="489" t="str">
        <f>IF(G161="",IF(SUM(M139:M160)=0,"",SUM(M139:M160)),IF(M80="","",SUM(M139:M160)+M80))</f>
        <v/>
      </c>
      <c r="N161" s="490" t="s">
        <v>29</v>
      </c>
      <c r="O161" s="491">
        <f>IF(G188="",MIN(I161,K161,M161),"")</f>
        <v>93600</v>
      </c>
    </row>
    <row r="162" spans="1:15" s="20" customFormat="1" ht="20.25" customHeight="1">
      <c r="A162" s="24"/>
      <c r="B162" s="24"/>
      <c r="C162" s="24"/>
      <c r="G162" s="24"/>
      <c r="H162" s="32"/>
      <c r="I162" s="32"/>
      <c r="J162" s="32"/>
      <c r="K162" s="32"/>
      <c r="L162" s="32"/>
      <c r="M162" s="32"/>
      <c r="N162" s="20" t="str">
        <f>IF(B164="","EOL","")</f>
        <v>EOL</v>
      </c>
      <c r="O162" s="32">
        <f>+O135+1</f>
        <v>6</v>
      </c>
    </row>
  </sheetData>
  <mergeCells count="30">
    <mergeCell ref="A109:M109"/>
    <mergeCell ref="H110:I110"/>
    <mergeCell ref="J110:K110"/>
    <mergeCell ref="L110:M110"/>
    <mergeCell ref="N110:O110"/>
    <mergeCell ref="A136:M136"/>
    <mergeCell ref="H137:I137"/>
    <mergeCell ref="J137:K137"/>
    <mergeCell ref="L137:M137"/>
    <mergeCell ref="N137:O137"/>
    <mergeCell ref="A55:M55"/>
    <mergeCell ref="H56:I56"/>
    <mergeCell ref="J56:K56"/>
    <mergeCell ref="L56:M56"/>
    <mergeCell ref="N56:O56"/>
    <mergeCell ref="N2:O2"/>
    <mergeCell ref="A1:M1"/>
    <mergeCell ref="H2:I2"/>
    <mergeCell ref="J2:K2"/>
    <mergeCell ref="L2:M2"/>
    <mergeCell ref="A82:M82"/>
    <mergeCell ref="H83:I83"/>
    <mergeCell ref="J83:K83"/>
    <mergeCell ref="L83:M83"/>
    <mergeCell ref="N83:O83"/>
    <mergeCell ref="A28:M28"/>
    <mergeCell ref="H29:I29"/>
    <mergeCell ref="J29:K29"/>
    <mergeCell ref="L29:M29"/>
    <mergeCell ref="N29:O29"/>
  </mergeCells>
  <phoneticPr fontId="2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rowBreaks count="5" manualBreakCount="5">
    <brk id="27" max="14" man="1"/>
    <brk id="54" max="14" man="1"/>
    <brk id="81" max="14" man="1"/>
    <brk id="108" max="14" man="1"/>
    <brk id="135" max="14" man="1"/>
  </rowBreaks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/>
  <dimension ref="A1:V54"/>
  <sheetViews>
    <sheetView zoomScaleNormal="100" workbookViewId="0">
      <selection activeCell="Q7" sqref="Q7"/>
    </sheetView>
  </sheetViews>
  <sheetFormatPr baseColWidth="10" defaultColWidth="9" defaultRowHeight="20.25" customHeight="1"/>
  <cols>
    <col min="1" max="1" width="4.5" style="24" customWidth="1"/>
    <col min="2" max="3" width="3.33203125" style="24" customWidth="1"/>
    <col min="4" max="4" width="16.6640625" style="20" customWidth="1"/>
    <col min="5" max="5" width="16.5" style="20" customWidth="1"/>
    <col min="6" max="6" width="4.1640625" style="20" customWidth="1"/>
    <col min="7" max="7" width="4.1640625" style="24" customWidth="1"/>
    <col min="8" max="9" width="6.5" style="32" customWidth="1"/>
    <col min="10" max="11" width="3.33203125" style="24" customWidth="1"/>
    <col min="12" max="13" width="16.6640625" style="20" customWidth="1"/>
    <col min="14" max="14" width="4.1640625" style="20" customWidth="1"/>
    <col min="15" max="15" width="4" style="24" customWidth="1"/>
    <col min="16" max="20" width="6.5" style="32" customWidth="1"/>
    <col min="21" max="21" width="9.33203125" style="20" bestFit="1" customWidth="1"/>
    <col min="22" max="22" width="5.83203125" style="20" customWidth="1"/>
    <col min="23" max="25" width="10.6640625" style="20" customWidth="1"/>
    <col min="26" max="16384" width="9" style="20"/>
  </cols>
  <sheetData>
    <row r="1" spans="1:22" ht="20.25" customHeight="1" thickBot="1">
      <c r="A1" s="2858" t="s">
        <v>240</v>
      </c>
      <c r="B1" s="2858"/>
      <c r="C1" s="2858"/>
      <c r="D1" s="2858"/>
      <c r="E1" s="2858"/>
      <c r="F1" s="2858"/>
      <c r="G1" s="2858"/>
      <c r="H1" s="2858"/>
      <c r="I1" s="2858"/>
      <c r="J1" s="2858"/>
      <c r="K1" s="2858"/>
      <c r="L1" s="2858"/>
      <c r="M1" s="237" t="s">
        <v>203</v>
      </c>
      <c r="N1" s="2870" t="s">
        <v>3014</v>
      </c>
      <c r="O1" s="2870"/>
      <c r="P1" s="2870"/>
      <c r="Q1" s="238"/>
      <c r="R1" s="20"/>
      <c r="S1" s="1"/>
      <c r="T1" s="20"/>
      <c r="U1" s="20" t="s">
        <v>62</v>
      </c>
      <c r="V1" s="1">
        <f ca="1">VLOOKUP("EOL",$N$1:$O$65536,2,FALSE)</f>
        <v>2</v>
      </c>
    </row>
    <row r="2" spans="1:22" s="24" customFormat="1" ht="20.25" customHeight="1">
      <c r="A2" s="293"/>
      <c r="B2" s="409"/>
      <c r="C2" s="409"/>
      <c r="D2" s="2871" t="s">
        <v>205</v>
      </c>
      <c r="E2" s="2871"/>
      <c r="F2" s="2871"/>
      <c r="G2" s="2871"/>
      <c r="H2" s="414"/>
      <c r="I2" s="415"/>
      <c r="J2" s="2872" t="s">
        <v>283</v>
      </c>
      <c r="K2" s="2873"/>
      <c r="L2" s="2873"/>
      <c r="M2" s="2873"/>
      <c r="N2" s="2873"/>
      <c r="O2" s="2873"/>
      <c r="P2" s="2873"/>
      <c r="Q2" s="2873"/>
      <c r="R2" s="2873"/>
      <c r="S2" s="2873"/>
      <c r="T2" s="2874"/>
    </row>
    <row r="3" spans="1:22" s="24" customFormat="1" ht="20.25" customHeight="1" thickBot="1">
      <c r="A3" s="294"/>
      <c r="B3" s="295"/>
      <c r="C3" s="295"/>
      <c r="D3" s="296"/>
      <c r="E3" s="297" t="s">
        <v>241</v>
      </c>
      <c r="F3" s="2875">
        <v>1</v>
      </c>
      <c r="G3" s="2876"/>
      <c r="H3" s="416"/>
      <c r="I3" s="417"/>
      <c r="J3" s="2877"/>
      <c r="K3" s="2878"/>
      <c r="L3" s="2878"/>
      <c r="M3" s="2878"/>
      <c r="N3" s="2878"/>
      <c r="O3" s="2878"/>
      <c r="P3" s="2878"/>
      <c r="Q3" s="2878"/>
      <c r="R3" s="2878"/>
      <c r="S3" s="2878"/>
      <c r="T3" s="2879"/>
    </row>
    <row r="4" spans="1:22" ht="20.25" customHeight="1">
      <c r="A4" s="299" t="s">
        <v>242</v>
      </c>
      <c r="B4" s="300" t="s">
        <v>243</v>
      </c>
      <c r="C4" s="301" t="s">
        <v>244</v>
      </c>
      <c r="D4" s="302"/>
      <c r="E4" s="303"/>
      <c r="F4" s="303"/>
      <c r="G4" s="304"/>
      <c r="H4" s="240" t="s">
        <v>2492</v>
      </c>
      <c r="I4" s="241" t="s">
        <v>207</v>
      </c>
      <c r="J4" s="242" t="s">
        <v>16</v>
      </c>
      <c r="K4" s="239" t="s">
        <v>18</v>
      </c>
      <c r="L4" s="305"/>
      <c r="M4" s="306"/>
      <c r="N4" s="307"/>
      <c r="O4" s="356"/>
      <c r="P4" s="241" t="s">
        <v>208</v>
      </c>
      <c r="Q4" s="308"/>
      <c r="R4" s="308"/>
      <c r="S4" s="388" t="s">
        <v>278</v>
      </c>
      <c r="T4" s="390" t="s">
        <v>279</v>
      </c>
    </row>
    <row r="5" spans="1:22" ht="20.25" customHeight="1" thickBot="1">
      <c r="A5" s="243" t="s">
        <v>209</v>
      </c>
      <c r="B5" s="244" t="s">
        <v>17</v>
      </c>
      <c r="C5" s="245" t="s">
        <v>17</v>
      </c>
      <c r="D5" s="246" t="s">
        <v>19</v>
      </c>
      <c r="E5" s="247" t="s">
        <v>20</v>
      </c>
      <c r="F5" s="309" t="s">
        <v>21</v>
      </c>
      <c r="G5" s="310" t="s">
        <v>22</v>
      </c>
      <c r="H5" s="248" t="s">
        <v>245</v>
      </c>
      <c r="I5" s="249" t="s">
        <v>23</v>
      </c>
      <c r="J5" s="250" t="s">
        <v>17</v>
      </c>
      <c r="K5" s="244" t="s">
        <v>17</v>
      </c>
      <c r="L5" s="251" t="s">
        <v>19</v>
      </c>
      <c r="M5" s="247" t="s">
        <v>20</v>
      </c>
      <c r="N5" s="309" t="s">
        <v>21</v>
      </c>
      <c r="O5" s="247" t="s">
        <v>22</v>
      </c>
      <c r="P5" s="249" t="s">
        <v>23</v>
      </c>
      <c r="Q5" s="252" t="s">
        <v>28</v>
      </c>
      <c r="R5" s="252" t="s">
        <v>281</v>
      </c>
      <c r="S5" s="389" t="s">
        <v>280</v>
      </c>
      <c r="T5" s="252" t="s">
        <v>280</v>
      </c>
    </row>
    <row r="6" spans="1:22" ht="20.25" customHeight="1">
      <c r="A6" s="253"/>
      <c r="B6" s="254"/>
      <c r="C6" s="255"/>
      <c r="D6" s="256" t="s">
        <v>2992</v>
      </c>
      <c r="E6" s="257"/>
      <c r="F6" s="425"/>
      <c r="G6" s="259"/>
      <c r="H6" s="311"/>
      <c r="I6" s="260"/>
      <c r="J6" s="261"/>
      <c r="K6" s="255"/>
      <c r="L6" s="256"/>
      <c r="M6" s="257"/>
      <c r="N6" s="258"/>
      <c r="O6" s="259"/>
      <c r="P6" s="260"/>
      <c r="Q6" s="271" t="str">
        <f>IF(I6&lt;P6,IF(P6="","",IF(S27&lt;T27,R6,IF((H6+(P6-I6)*F$3)&lt;10000,ROUNDDOWN(H6+(P6-I6)*F$3,-1),ROUNDDOWN(H6+(P6-I6)*F$3,-2)))),R6)</f>
        <v/>
      </c>
      <c r="R6" s="410" t="str">
        <f t="shared" ref="R6:R25" si="0">IF(P6="","",IF(I6&lt;&gt;"",IF((P6/I6*H6)&lt;10,INT(P6/I6*H6),IF((P6/I6*H6)&lt;10000,ROUNDDOWN(P6/I6*H6,-1),ROUNDDOWN(P6/I6*H6,-2)))))</f>
        <v/>
      </c>
      <c r="S6" s="411" t="str">
        <f>IF(P6="","",(R6*N6-H6*F6))</f>
        <v/>
      </c>
      <c r="T6" s="410" t="str">
        <f>IF(P6="","",(P6*N6-I6*F6)*F3)</f>
        <v/>
      </c>
    </row>
    <row r="7" spans="1:22" ht="20.25" customHeight="1">
      <c r="A7" s="262">
        <v>600</v>
      </c>
      <c r="B7" s="263">
        <v>4</v>
      </c>
      <c r="C7" s="264">
        <v>4</v>
      </c>
      <c r="D7" s="265" t="s">
        <v>2988</v>
      </c>
      <c r="E7" s="266" t="s">
        <v>2989</v>
      </c>
      <c r="F7" s="426">
        <v>48</v>
      </c>
      <c r="G7" s="268" t="s">
        <v>184</v>
      </c>
      <c r="H7" s="312">
        <v>200000</v>
      </c>
      <c r="I7" s="269">
        <v>150000</v>
      </c>
      <c r="J7" s="270">
        <v>4</v>
      </c>
      <c r="K7" s="264">
        <v>4</v>
      </c>
      <c r="L7" s="265" t="s">
        <v>2994</v>
      </c>
      <c r="M7" s="266" t="s">
        <v>2996</v>
      </c>
      <c r="N7" s="267">
        <v>4</v>
      </c>
      <c r="O7" s="268" t="s">
        <v>2982</v>
      </c>
      <c r="P7" s="269">
        <v>300000</v>
      </c>
      <c r="Q7" s="271">
        <f ca="1">IF(I7&lt;P7,IF(P7="","",IF(S27&lt;T27,R7,IF((H7+(P7-I7)*F$3)&lt;10000,ROUNDDOWN(H7+(P7-I7)*F$3,-1),ROUNDDOWN(H7+(P7-I7)*F$3,-2)))),R7)</f>
        <v>400000</v>
      </c>
      <c r="R7" s="410">
        <f>IF(P7="","",IF(I7&lt;&gt;"",IF((P7/I7*H7)&lt;10,INT(P7/I7*H7),IF((P7/I7*H7)&lt;10000,ROUNDDOWN(P7/I7*H7,-1),ROUNDDOWN(P7/I7*H7,-2)))))</f>
        <v>400000</v>
      </c>
      <c r="S7" s="411">
        <f>IF(P7="","",(R7*N7-H7*F7))</f>
        <v>-8000000</v>
      </c>
      <c r="T7" s="410">
        <f>IF(P7="","",(P7*N7-I7*F7)*F3)</f>
        <v>-6000000</v>
      </c>
    </row>
    <row r="8" spans="1:22" ht="20.25" customHeight="1">
      <c r="A8" s="262"/>
      <c r="B8" s="263"/>
      <c r="C8" s="264"/>
      <c r="D8" s="265"/>
      <c r="E8" s="266" t="s">
        <v>2991</v>
      </c>
      <c r="F8" s="426"/>
      <c r="G8" s="268"/>
      <c r="H8" s="312"/>
      <c r="I8" s="269"/>
      <c r="J8" s="270"/>
      <c r="K8" s="264"/>
      <c r="L8" s="265" t="s">
        <v>2995</v>
      </c>
      <c r="M8" s="266" t="s">
        <v>3008</v>
      </c>
      <c r="N8" s="267"/>
      <c r="O8" s="268"/>
      <c r="P8" s="269"/>
      <c r="Q8" s="271" t="str">
        <f>IF(I8&lt;P8,IF(P8="","",IF(S27&lt;T27,R8,IF((H8+(P8-I8)*F$3)&lt;10000,ROUNDDOWN(H8+(P8-I8)*F$3,-1),ROUNDDOWN(H8+(P8-I8)*F$3,-2)))),R8)</f>
        <v/>
      </c>
      <c r="R8" s="410" t="str">
        <f t="shared" si="0"/>
        <v/>
      </c>
      <c r="S8" s="411" t="str">
        <f t="shared" ref="S8:S25" si="1">IF(P8="","",(R8*N8-H8*F8))</f>
        <v/>
      </c>
      <c r="T8" s="410" t="str">
        <f>IF(P8="","",(P8*N8-I8*F8)*F3)</f>
        <v/>
      </c>
    </row>
    <row r="9" spans="1:22" ht="20.25" customHeight="1">
      <c r="A9" s="262"/>
      <c r="B9" s="263"/>
      <c r="C9" s="264"/>
      <c r="D9" s="265"/>
      <c r="E9" s="266"/>
      <c r="F9" s="426"/>
      <c r="G9" s="268"/>
      <c r="H9" s="312"/>
      <c r="I9" s="269"/>
      <c r="J9" s="270"/>
      <c r="K9" s="264"/>
      <c r="L9" s="265"/>
      <c r="M9" s="266" t="s">
        <v>2997</v>
      </c>
      <c r="N9" s="267"/>
      <c r="O9" s="268"/>
      <c r="P9" s="269"/>
      <c r="Q9" s="271" t="str">
        <f>IF(I9&lt;P9,IF(P9="","",IF(S27&lt;T27,R9,IF((H9+(P9-I9)*F$3)&lt;10000,ROUNDDOWN(H9+(P9-I9)*F$3,-1),ROUNDDOWN(H9+(P9-I9)*F$3,-2)))),R9)</f>
        <v/>
      </c>
      <c r="R9" s="410" t="str">
        <f t="shared" si="0"/>
        <v/>
      </c>
      <c r="S9" s="411" t="str">
        <f t="shared" si="1"/>
        <v/>
      </c>
      <c r="T9" s="410" t="str">
        <f>IF(P9="","",(P9*N9-I9*F9)*F3)</f>
        <v/>
      </c>
    </row>
    <row r="10" spans="1:22" ht="20.25" customHeight="1">
      <c r="A10" s="262"/>
      <c r="B10" s="263"/>
      <c r="C10" s="264"/>
      <c r="D10" s="265"/>
      <c r="E10" s="266"/>
      <c r="F10" s="426"/>
      <c r="G10" s="268"/>
      <c r="H10" s="312"/>
      <c r="I10" s="269"/>
      <c r="J10" s="270"/>
      <c r="K10" s="264"/>
      <c r="L10" s="265"/>
      <c r="M10" s="266" t="s">
        <v>2998</v>
      </c>
      <c r="N10" s="267"/>
      <c r="O10" s="268"/>
      <c r="P10" s="269"/>
      <c r="Q10" s="271" t="str">
        <f>IF(I10&lt;P10,IF(P10="","",IF(S27&lt;T27,R10,IF((H10+(P10-I10)*F$3)&lt;10000,ROUNDDOWN(H10+(P10-I10)*F$3,-1),ROUNDDOWN(H10+(P10-I10)*F$3,-2)))),R10)</f>
        <v/>
      </c>
      <c r="R10" s="410" t="str">
        <f t="shared" si="0"/>
        <v/>
      </c>
      <c r="S10" s="411" t="str">
        <f t="shared" si="1"/>
        <v/>
      </c>
      <c r="T10" s="410" t="str">
        <f>IF(P10="","",(P10*N10-I10*F10)*F3)</f>
        <v/>
      </c>
    </row>
    <row r="11" spans="1:22" ht="20.25" customHeight="1">
      <c r="A11" s="262"/>
      <c r="B11" s="263"/>
      <c r="C11" s="264"/>
      <c r="D11" s="265"/>
      <c r="E11" s="266"/>
      <c r="F11" s="426"/>
      <c r="G11" s="268"/>
      <c r="H11" s="312"/>
      <c r="I11" s="269"/>
      <c r="J11" s="270"/>
      <c r="K11" s="264"/>
      <c r="L11" s="265"/>
      <c r="M11" s="266" t="s">
        <v>2999</v>
      </c>
      <c r="N11" s="267"/>
      <c r="O11" s="268"/>
      <c r="P11" s="269"/>
      <c r="Q11" s="271" t="str">
        <f>IF(I11&lt;P11,IF(P11="","",IF(S27&lt;T27,R11,IF((H11+(P11-I11)*F$3)&lt;10000,ROUNDDOWN(H11+(P11-I11)*F$3,-1),ROUNDDOWN(H11+(P11-I11)*F$3,-2)))),R11)</f>
        <v/>
      </c>
      <c r="R11" s="410" t="str">
        <f t="shared" si="0"/>
        <v/>
      </c>
      <c r="S11" s="411" t="str">
        <f t="shared" si="1"/>
        <v/>
      </c>
      <c r="T11" s="410" t="str">
        <f>IF(P11="","",(P11*N11-I11*F11)*F3)</f>
        <v/>
      </c>
    </row>
    <row r="12" spans="1:22" ht="20.25" customHeight="1">
      <c r="A12" s="262"/>
      <c r="B12" s="263"/>
      <c r="C12" s="264"/>
      <c r="D12" s="265"/>
      <c r="E12" s="266"/>
      <c r="F12" s="426"/>
      <c r="G12" s="268"/>
      <c r="H12" s="312"/>
      <c r="I12" s="269"/>
      <c r="J12" s="270"/>
      <c r="K12" s="264"/>
      <c r="L12" s="265"/>
      <c r="M12" s="266" t="s">
        <v>3000</v>
      </c>
      <c r="N12" s="267"/>
      <c r="O12" s="268"/>
      <c r="P12" s="269"/>
      <c r="Q12" s="271" t="str">
        <f>IF(I12&lt;P12,IF(P12="","",IF(S27&lt;T27,R12,IF((H12+(P12-I12)*F$3)&lt;10000,ROUNDDOWN(H12+(P12-I12)*F$3,-1),ROUNDDOWN(H12+(P12-I12)*F$3,-2)))),R12)</f>
        <v/>
      </c>
      <c r="R12" s="410" t="str">
        <f t="shared" si="0"/>
        <v/>
      </c>
      <c r="S12" s="411" t="str">
        <f t="shared" si="1"/>
        <v/>
      </c>
      <c r="T12" s="410" t="str">
        <f>IF(P12="","",(P12*N12-I12*F12)*F3)</f>
        <v/>
      </c>
    </row>
    <row r="13" spans="1:22" ht="20.25" customHeight="1">
      <c r="A13" s="262"/>
      <c r="B13" s="263"/>
      <c r="C13" s="264"/>
      <c r="D13" s="265"/>
      <c r="E13" s="266"/>
      <c r="F13" s="426"/>
      <c r="G13" s="268"/>
      <c r="H13" s="312"/>
      <c r="I13" s="269"/>
      <c r="J13" s="270"/>
      <c r="K13" s="264"/>
      <c r="L13" s="265"/>
      <c r="M13" s="266" t="s">
        <v>3001</v>
      </c>
      <c r="N13" s="267"/>
      <c r="O13" s="268"/>
      <c r="P13" s="269"/>
      <c r="Q13" s="271" t="str">
        <f>IF(I13&lt;P13,IF(P13="","",IF(S27&lt;T27,R13,IF((H13+(P13-I13)*F$3)&lt;10000,ROUNDDOWN(H13+(P13-I13)*F$3,-1),ROUNDDOWN(H13+(P13-I13)*F$3,-2)))),R13)</f>
        <v/>
      </c>
      <c r="R13" s="410" t="str">
        <f t="shared" si="0"/>
        <v/>
      </c>
      <c r="S13" s="411" t="str">
        <f t="shared" si="1"/>
        <v/>
      </c>
      <c r="T13" s="410" t="str">
        <f>IF(P13="","",(P13*N13-I13*F13)*F3)</f>
        <v/>
      </c>
    </row>
    <row r="14" spans="1:22" ht="20.25" customHeight="1">
      <c r="A14" s="262"/>
      <c r="B14" s="263"/>
      <c r="C14" s="264"/>
      <c r="D14" s="265"/>
      <c r="E14" s="266"/>
      <c r="F14" s="426"/>
      <c r="G14" s="268"/>
      <c r="H14" s="312"/>
      <c r="I14" s="269"/>
      <c r="J14" s="270"/>
      <c r="K14" s="264"/>
      <c r="L14" s="265"/>
      <c r="M14" s="266" t="s">
        <v>3002</v>
      </c>
      <c r="N14" s="267"/>
      <c r="O14" s="268"/>
      <c r="P14" s="269"/>
      <c r="Q14" s="271" t="str">
        <f>IF(I14&lt;P14,IF(P14="","",IF(S27&lt;T27,R14,IF((H14+(P14-I14)*F$3)&lt;10000,ROUNDDOWN(H14+(P14-I14)*F$3,-1),ROUNDDOWN(H14+(P14-I14)*F$3,-2)))),R14)</f>
        <v/>
      </c>
      <c r="R14" s="410" t="str">
        <f t="shared" si="0"/>
        <v/>
      </c>
      <c r="S14" s="411" t="str">
        <f t="shared" si="1"/>
        <v/>
      </c>
      <c r="T14" s="410" t="str">
        <f>IF(P14="","",(P14*N14-I14*F14)*F3)</f>
        <v/>
      </c>
    </row>
    <row r="15" spans="1:22" ht="20.25" customHeight="1">
      <c r="A15" s="262"/>
      <c r="B15" s="263"/>
      <c r="C15" s="264"/>
      <c r="D15" s="265"/>
      <c r="E15" s="266"/>
      <c r="F15" s="426"/>
      <c r="G15" s="268"/>
      <c r="H15" s="312"/>
      <c r="I15" s="269"/>
      <c r="J15" s="270"/>
      <c r="K15" s="264"/>
      <c r="L15" s="265"/>
      <c r="M15" s="266"/>
      <c r="N15" s="267"/>
      <c r="O15" s="268"/>
      <c r="P15" s="269"/>
      <c r="Q15" s="271" t="str">
        <f>IF(I15&lt;P15,IF(P15="","",IF(S27&lt;T27,R15,IF((H15+(P15-I15)*F$3)&lt;10000,ROUNDDOWN(H15+(P15-I15)*F$3,-1),ROUNDDOWN(H15+(P15-I15)*F$3,-2)))),R15)</f>
        <v/>
      </c>
      <c r="R15" s="410" t="str">
        <f t="shared" si="0"/>
        <v/>
      </c>
      <c r="S15" s="411" t="str">
        <f t="shared" si="1"/>
        <v/>
      </c>
      <c r="T15" s="410" t="str">
        <f>IF(P15="","",(P15*N15-I15*F15)*F3)</f>
        <v/>
      </c>
    </row>
    <row r="16" spans="1:22" ht="20.25" customHeight="1">
      <c r="A16" s="262"/>
      <c r="B16" s="263"/>
      <c r="C16" s="264"/>
      <c r="D16" s="265"/>
      <c r="E16" s="266"/>
      <c r="F16" s="426"/>
      <c r="G16" s="268"/>
      <c r="H16" s="312"/>
      <c r="I16" s="269"/>
      <c r="J16" s="270"/>
      <c r="K16" s="264"/>
      <c r="L16" s="265"/>
      <c r="M16" s="266"/>
      <c r="N16" s="267"/>
      <c r="O16" s="268"/>
      <c r="P16" s="269"/>
      <c r="Q16" s="271" t="str">
        <f>IF(I16&lt;P16,IF(P16="","",IF(S27&lt;T27,R16,IF((H16+(P16-I16)*F$3)&lt;10000,ROUNDDOWN(H16+(P16-I16)*F$3,-1),ROUNDDOWN(H16+(P16-I16)*F$3,-2)))),R16)</f>
        <v/>
      </c>
      <c r="R16" s="410" t="str">
        <f t="shared" si="0"/>
        <v/>
      </c>
      <c r="S16" s="411" t="str">
        <f t="shared" si="1"/>
        <v/>
      </c>
      <c r="T16" s="410" t="str">
        <f>IF(P16="","",(P16*N16-I16*F16)*F3)</f>
        <v/>
      </c>
    </row>
    <row r="17" spans="1:20" ht="20.25" customHeight="1">
      <c r="A17" s="262"/>
      <c r="B17" s="263"/>
      <c r="C17" s="264"/>
      <c r="D17" s="265"/>
      <c r="E17" s="266"/>
      <c r="F17" s="426"/>
      <c r="G17" s="268"/>
      <c r="H17" s="312"/>
      <c r="I17" s="269"/>
      <c r="J17" s="270"/>
      <c r="K17" s="264"/>
      <c r="L17" s="265"/>
      <c r="M17" s="266"/>
      <c r="N17" s="267"/>
      <c r="O17" s="268"/>
      <c r="P17" s="269"/>
      <c r="Q17" s="271" t="str">
        <f>IF(I17&lt;P17,IF(P17="","",IF(S27&lt;T27,R17,IF((H17+(P17-I17)*F$3)&lt;10000,ROUNDDOWN(H17+(P17-I17)*F$3,-1),ROUNDDOWN(H17+(P17-I17)*F$3,-2)))),R17)</f>
        <v/>
      </c>
      <c r="R17" s="410" t="str">
        <f t="shared" si="0"/>
        <v/>
      </c>
      <c r="S17" s="411" t="str">
        <f t="shared" si="1"/>
        <v/>
      </c>
      <c r="T17" s="410" t="str">
        <f>IF(P17="","",(P17*N17-I17*F17)*F3)</f>
        <v/>
      </c>
    </row>
    <row r="18" spans="1:20" ht="20.25" customHeight="1">
      <c r="A18" s="262"/>
      <c r="B18" s="263"/>
      <c r="C18" s="264"/>
      <c r="D18" s="265"/>
      <c r="E18" s="266"/>
      <c r="F18" s="426"/>
      <c r="G18" s="268"/>
      <c r="H18" s="312"/>
      <c r="I18" s="269"/>
      <c r="J18" s="270"/>
      <c r="K18" s="264"/>
      <c r="L18" s="265"/>
      <c r="M18" s="266"/>
      <c r="N18" s="267"/>
      <c r="O18" s="268"/>
      <c r="P18" s="269"/>
      <c r="Q18" s="271" t="str">
        <f>IF(I18&lt;P18,IF(P18="","",IF(S27&lt;T27,R18,IF((H18+(P18-I18)*F$3)&lt;10000,ROUNDDOWN(H18+(P18-I18)*F$3,-1),ROUNDDOWN(H18+(P18-I18)*F$3,-2)))),R18)</f>
        <v/>
      </c>
      <c r="R18" s="410" t="str">
        <f t="shared" si="0"/>
        <v/>
      </c>
      <c r="S18" s="411" t="str">
        <f t="shared" si="1"/>
        <v/>
      </c>
      <c r="T18" s="410" t="str">
        <f>IF(P18="","",(P18*N18-I18*F18)*F3)</f>
        <v/>
      </c>
    </row>
    <row r="19" spans="1:20" ht="20.25" customHeight="1">
      <c r="A19" s="262"/>
      <c r="B19" s="263"/>
      <c r="C19" s="264"/>
      <c r="D19" s="265"/>
      <c r="E19" s="266"/>
      <c r="F19" s="426"/>
      <c r="G19" s="268"/>
      <c r="H19" s="312"/>
      <c r="I19" s="269"/>
      <c r="J19" s="270"/>
      <c r="K19" s="264"/>
      <c r="L19" s="265"/>
      <c r="M19" s="266"/>
      <c r="N19" s="267"/>
      <c r="O19" s="268"/>
      <c r="P19" s="269"/>
      <c r="Q19" s="271" t="str">
        <f>IF(I19&lt;P19,IF(P19="","",IF(S27&lt;T27,R19,IF((H19+(P19-I19)*F$3)&lt;10000,ROUNDDOWN(H19+(P19-I19)*F$3,-1),ROUNDDOWN(H19+(P19-I19)*F$3,-2)))),R19)</f>
        <v/>
      </c>
      <c r="R19" s="410" t="str">
        <f t="shared" si="0"/>
        <v/>
      </c>
      <c r="S19" s="411" t="str">
        <f t="shared" si="1"/>
        <v/>
      </c>
      <c r="T19" s="410" t="str">
        <f>IF(P19="","",(P19*N19-I19*F19)*F3)</f>
        <v/>
      </c>
    </row>
    <row r="20" spans="1:20" ht="20.25" customHeight="1">
      <c r="A20" s="262"/>
      <c r="B20" s="263"/>
      <c r="C20" s="264"/>
      <c r="D20" s="265"/>
      <c r="E20" s="266"/>
      <c r="F20" s="426"/>
      <c r="G20" s="268"/>
      <c r="H20" s="312"/>
      <c r="I20" s="269"/>
      <c r="J20" s="270"/>
      <c r="K20" s="264"/>
      <c r="L20" s="265"/>
      <c r="M20" s="266"/>
      <c r="N20" s="267"/>
      <c r="O20" s="268"/>
      <c r="P20" s="269"/>
      <c r="Q20" s="271" t="str">
        <f>IF(I20&lt;P20,IF(P20="","",IF(S27&lt;T27,R20,IF((H20+(P20-I20)*F$3)&lt;10000,ROUNDDOWN(H20+(P20-I20)*F$3,-1),ROUNDDOWN(H20+(P20-I20)*F$3,-2)))),R20)</f>
        <v/>
      </c>
      <c r="R20" s="410" t="str">
        <f t="shared" si="0"/>
        <v/>
      </c>
      <c r="S20" s="411" t="str">
        <f t="shared" si="1"/>
        <v/>
      </c>
      <c r="T20" s="410" t="str">
        <f>IF(P20="","",(P20*N20-I20*F20)*F3)</f>
        <v/>
      </c>
    </row>
    <row r="21" spans="1:20" ht="20.25" customHeight="1">
      <c r="A21" s="262"/>
      <c r="B21" s="263"/>
      <c r="C21" s="264"/>
      <c r="D21" s="265"/>
      <c r="E21" s="266"/>
      <c r="F21" s="426"/>
      <c r="G21" s="268"/>
      <c r="H21" s="312"/>
      <c r="I21" s="269"/>
      <c r="J21" s="270"/>
      <c r="K21" s="264"/>
      <c r="L21" s="265"/>
      <c r="M21" s="266"/>
      <c r="N21" s="267"/>
      <c r="O21" s="268"/>
      <c r="P21" s="269"/>
      <c r="Q21" s="271" t="str">
        <f>IF(I21&lt;P21,IF(P21="","",IF(S27&lt;T27,R21,IF((H21+(P21-I21)*F$3)&lt;10000,ROUNDDOWN(H21+(P21-I21)*F$3,-1),ROUNDDOWN(H21+(P21-I21)*F$3,-2)))),R21)</f>
        <v/>
      </c>
      <c r="R21" s="410" t="str">
        <f t="shared" si="0"/>
        <v/>
      </c>
      <c r="S21" s="411" t="str">
        <f t="shared" si="1"/>
        <v/>
      </c>
      <c r="T21" s="410" t="str">
        <f>IF(P21="","",(P21*N21-I21*F21)*F3)</f>
        <v/>
      </c>
    </row>
    <row r="22" spans="1:20" ht="20.25" customHeight="1">
      <c r="A22" s="262"/>
      <c r="B22" s="263"/>
      <c r="C22" s="264"/>
      <c r="D22" s="265"/>
      <c r="E22" s="266"/>
      <c r="F22" s="426"/>
      <c r="G22" s="268"/>
      <c r="H22" s="312"/>
      <c r="I22" s="269"/>
      <c r="J22" s="270"/>
      <c r="K22" s="264"/>
      <c r="L22" s="265"/>
      <c r="M22" s="266"/>
      <c r="N22" s="267"/>
      <c r="O22" s="268"/>
      <c r="P22" s="269"/>
      <c r="Q22" s="271" t="str">
        <f>IF(I22&lt;P22,IF(P22="","",IF(S27&lt;T27,R22,IF((H22+(P22-I22)*F$3)&lt;10000,ROUNDDOWN(H22+(P22-I22)*F$3,-1),ROUNDDOWN(H22+(P22-I22)*F$3,-2)))),R22)</f>
        <v/>
      </c>
      <c r="R22" s="410" t="str">
        <f t="shared" si="0"/>
        <v/>
      </c>
      <c r="S22" s="411" t="str">
        <f t="shared" si="1"/>
        <v/>
      </c>
      <c r="T22" s="410" t="str">
        <f>IF(P22="","",(P22*N22-I22*F22)*F3)</f>
        <v/>
      </c>
    </row>
    <row r="23" spans="1:20" ht="20.25" customHeight="1">
      <c r="A23" s="262"/>
      <c r="B23" s="263"/>
      <c r="C23" s="264"/>
      <c r="D23" s="265"/>
      <c r="E23" s="266"/>
      <c r="F23" s="426"/>
      <c r="G23" s="268"/>
      <c r="H23" s="312"/>
      <c r="I23" s="269"/>
      <c r="J23" s="270"/>
      <c r="K23" s="264"/>
      <c r="L23" s="265"/>
      <c r="M23" s="266"/>
      <c r="N23" s="267"/>
      <c r="O23" s="268"/>
      <c r="P23" s="269"/>
      <c r="Q23" s="271" t="str">
        <f>IF(I23&lt;P23,IF(P23="","",IF(S27&lt;T27,R23,IF((H23+(P23-I23)*F$3)&lt;10000,ROUNDDOWN(H23+(P23-I23)*F$3,-1),ROUNDDOWN(H23+(P23-I23)*F$3,-2)))),R23)</f>
        <v/>
      </c>
      <c r="R23" s="410" t="str">
        <f t="shared" si="0"/>
        <v/>
      </c>
      <c r="S23" s="411" t="str">
        <f t="shared" si="1"/>
        <v/>
      </c>
      <c r="T23" s="410" t="str">
        <f>IF(P23="","",(P23*N23-I23*F23)*F3)</f>
        <v/>
      </c>
    </row>
    <row r="24" spans="1:20" ht="20.25" customHeight="1">
      <c r="A24" s="262"/>
      <c r="B24" s="263"/>
      <c r="C24" s="264"/>
      <c r="D24" s="265"/>
      <c r="E24" s="266"/>
      <c r="F24" s="426"/>
      <c r="G24" s="268"/>
      <c r="H24" s="312"/>
      <c r="I24" s="269"/>
      <c r="J24" s="270"/>
      <c r="K24" s="264"/>
      <c r="L24" s="265"/>
      <c r="M24" s="266"/>
      <c r="N24" s="267"/>
      <c r="O24" s="268"/>
      <c r="P24" s="269"/>
      <c r="Q24" s="271" t="str">
        <f>IF(I24&lt;P24,IF(P24="","",IF(S27&lt;T27,R24,IF((H24+(P24-I24)*F$3)&lt;10000,ROUNDDOWN(H24+(P24-I24)*F$3,-1),ROUNDDOWN(H24+(P24-I24)*F$3,-2)))),R24)</f>
        <v/>
      </c>
      <c r="R24" s="410" t="str">
        <f t="shared" si="0"/>
        <v/>
      </c>
      <c r="S24" s="411" t="str">
        <f t="shared" si="1"/>
        <v/>
      </c>
      <c r="T24" s="410" t="str">
        <f>IF(P24="","",(P24*N24-I24*F24)*F3)</f>
        <v/>
      </c>
    </row>
    <row r="25" spans="1:20" ht="20.25" customHeight="1" thickBot="1">
      <c r="A25" s="391"/>
      <c r="B25" s="392"/>
      <c r="C25" s="393"/>
      <c r="D25" s="394"/>
      <c r="E25" s="395"/>
      <c r="F25" s="427"/>
      <c r="G25" s="397"/>
      <c r="H25" s="298"/>
      <c r="I25" s="398"/>
      <c r="J25" s="399"/>
      <c r="K25" s="393"/>
      <c r="L25" s="394"/>
      <c r="M25" s="395"/>
      <c r="N25" s="396"/>
      <c r="O25" s="397"/>
      <c r="P25" s="398"/>
      <c r="Q25" s="271" t="str">
        <f>IF(I25&lt;P25,IF(P25="","",IF(S27&lt;T27,R25,IF((H25+(P25-I25)*F$3)&lt;10000,ROUNDDOWN(H25+(P25-I25)*F$3,-1),ROUNDDOWN(H25+(P25-I25)*F$3,-2)))),R25)</f>
        <v/>
      </c>
      <c r="R25" s="412" t="str">
        <f t="shared" si="0"/>
        <v/>
      </c>
      <c r="S25" s="411" t="str">
        <f t="shared" si="1"/>
        <v/>
      </c>
      <c r="T25" s="410" t="str">
        <f>IF(P25="","",(P25*N25-I25*F25)*F3)</f>
        <v/>
      </c>
    </row>
    <row r="26" spans="1:20" ht="20.25" customHeight="1" thickBot="1">
      <c r="A26" s="400"/>
      <c r="B26" s="401"/>
      <c r="C26" s="401"/>
      <c r="D26" s="402"/>
      <c r="E26" s="402"/>
      <c r="F26" s="402"/>
      <c r="G26" s="403"/>
      <c r="H26" s="404"/>
      <c r="I26" s="405"/>
      <c r="J26" s="401"/>
      <c r="K26" s="401"/>
      <c r="L26" s="402"/>
      <c r="M26" s="421"/>
      <c r="N26" s="422"/>
      <c r="O26" s="422"/>
      <c r="P26" s="464" t="s">
        <v>284</v>
      </c>
      <c r="Q26" s="419"/>
      <c r="R26" s="406" t="s">
        <v>282</v>
      </c>
      <c r="S26" s="407">
        <f>IF($Q26="",IF(SUM(S6:S25)=0,"",SUM(S6:S25)),IF(#REF!="","",SUM(S6:S25)+#REF!))</f>
        <v>-8000000</v>
      </c>
      <c r="T26" s="408">
        <f>IF($Q26="",IF(SUM(T6:T25)=0,"",SUM(T6:T25)),IF(#REF!="","",SUM(T6:T25)+#REF!))</f>
        <v>-6000000</v>
      </c>
    </row>
    <row r="27" spans="1:20" ht="20.25" customHeight="1" thickBot="1">
      <c r="N27" s="20" t="str">
        <f>IF(A31="","EOL","")</f>
        <v/>
      </c>
      <c r="O27" s="32">
        <v>1</v>
      </c>
      <c r="P27" s="465"/>
      <c r="Q27" s="466"/>
      <c r="R27" s="406" t="s">
        <v>286</v>
      </c>
      <c r="S27" s="424">
        <f ca="1">IF(INDIRECT("Q"&amp;53)="",S26,INDIRECT("s"&amp;54))</f>
        <v>-8000000</v>
      </c>
      <c r="T27" s="408">
        <f ca="1">IF(INDIRECT("Q"&amp;53)="",T26,INDIRECT("t"&amp;54))</f>
        <v>-6000000</v>
      </c>
    </row>
    <row r="28" spans="1:20" ht="20.25" customHeight="1" thickBot="1">
      <c r="A28" s="2858" t="s">
        <v>3003</v>
      </c>
      <c r="B28" s="2858"/>
      <c r="C28" s="2858"/>
      <c r="D28" s="2858"/>
      <c r="E28" s="2858"/>
      <c r="F28" s="2858"/>
      <c r="G28" s="2858"/>
      <c r="H28" s="2858"/>
      <c r="I28" s="2858"/>
      <c r="J28" s="2858"/>
      <c r="K28" s="2858"/>
      <c r="L28" s="2858"/>
      <c r="M28" s="237" t="s">
        <v>203</v>
      </c>
      <c r="N28" s="2870" t="s">
        <v>3014</v>
      </c>
      <c r="O28" s="2870"/>
      <c r="P28" s="2870"/>
      <c r="Q28" s="238"/>
      <c r="R28" s="20"/>
      <c r="S28" s="1"/>
      <c r="T28" s="20"/>
    </row>
    <row r="29" spans="1:20" s="24" customFormat="1" ht="20.25" customHeight="1">
      <c r="A29" s="293"/>
      <c r="B29" s="832"/>
      <c r="C29" s="832"/>
      <c r="D29" s="2871" t="s">
        <v>205</v>
      </c>
      <c r="E29" s="2871"/>
      <c r="F29" s="2871"/>
      <c r="G29" s="2871"/>
      <c r="H29" s="388"/>
      <c r="I29" s="418"/>
      <c r="J29" s="2872" t="s">
        <v>283</v>
      </c>
      <c r="K29" s="2873"/>
      <c r="L29" s="2873"/>
      <c r="M29" s="2873"/>
      <c r="N29" s="2873"/>
      <c r="O29" s="2873"/>
      <c r="P29" s="2873"/>
      <c r="Q29" s="2873"/>
      <c r="R29" s="2873"/>
      <c r="S29" s="2873"/>
      <c r="T29" s="2874"/>
    </row>
    <row r="30" spans="1:20" s="24" customFormat="1" ht="20.25" customHeight="1" thickBot="1">
      <c r="A30" s="294"/>
      <c r="B30" s="295"/>
      <c r="C30" s="295"/>
      <c r="D30" s="296"/>
      <c r="E30" s="297" t="s">
        <v>241</v>
      </c>
      <c r="F30" s="2875">
        <v>0.6</v>
      </c>
      <c r="G30" s="2876"/>
      <c r="H30" s="416"/>
      <c r="I30" s="417"/>
      <c r="J30" s="2877"/>
      <c r="K30" s="2878"/>
      <c r="L30" s="2878"/>
      <c r="M30" s="2878"/>
      <c r="N30" s="2878"/>
      <c r="O30" s="2878"/>
      <c r="P30" s="2878"/>
      <c r="Q30" s="2878"/>
      <c r="R30" s="2878"/>
      <c r="S30" s="2878"/>
      <c r="T30" s="2879"/>
    </row>
    <row r="31" spans="1:20" ht="20.25" customHeight="1">
      <c r="A31" s="299" t="s">
        <v>242</v>
      </c>
      <c r="B31" s="300" t="s">
        <v>243</v>
      </c>
      <c r="C31" s="301" t="s">
        <v>244</v>
      </c>
      <c r="D31" s="302"/>
      <c r="E31" s="303"/>
      <c r="F31" s="303"/>
      <c r="G31" s="304"/>
      <c r="H31" s="830" t="s">
        <v>206</v>
      </c>
      <c r="I31" s="831" t="s">
        <v>207</v>
      </c>
      <c r="J31" s="242" t="s">
        <v>16</v>
      </c>
      <c r="K31" s="239" t="s">
        <v>18</v>
      </c>
      <c r="L31" s="305"/>
      <c r="M31" s="306"/>
      <c r="N31" s="307"/>
      <c r="O31" s="356"/>
      <c r="P31" s="831" t="s">
        <v>208</v>
      </c>
      <c r="Q31" s="308"/>
      <c r="R31" s="308"/>
      <c r="S31" s="388" t="s">
        <v>278</v>
      </c>
      <c r="T31" s="390" t="s">
        <v>279</v>
      </c>
    </row>
    <row r="32" spans="1:20" ht="20.25" customHeight="1" thickBot="1">
      <c r="A32" s="243" t="s">
        <v>209</v>
      </c>
      <c r="B32" s="244" t="s">
        <v>17</v>
      </c>
      <c r="C32" s="245" t="s">
        <v>17</v>
      </c>
      <c r="D32" s="246" t="s">
        <v>19</v>
      </c>
      <c r="E32" s="247" t="s">
        <v>20</v>
      </c>
      <c r="F32" s="309" t="s">
        <v>21</v>
      </c>
      <c r="G32" s="310" t="s">
        <v>22</v>
      </c>
      <c r="H32" s="248" t="s">
        <v>245</v>
      </c>
      <c r="I32" s="249" t="s">
        <v>23</v>
      </c>
      <c r="J32" s="250" t="s">
        <v>17</v>
      </c>
      <c r="K32" s="244" t="s">
        <v>17</v>
      </c>
      <c r="L32" s="251" t="s">
        <v>19</v>
      </c>
      <c r="M32" s="247" t="s">
        <v>20</v>
      </c>
      <c r="N32" s="309" t="s">
        <v>21</v>
      </c>
      <c r="O32" s="247" t="s">
        <v>22</v>
      </c>
      <c r="P32" s="249" t="s">
        <v>23</v>
      </c>
      <c r="Q32" s="252" t="s">
        <v>28</v>
      </c>
      <c r="R32" s="252" t="s">
        <v>281</v>
      </c>
      <c r="S32" s="389" t="s">
        <v>280</v>
      </c>
      <c r="T32" s="252" t="s">
        <v>280</v>
      </c>
    </row>
    <row r="33" spans="1:20" ht="20.25" customHeight="1">
      <c r="A33" s="253"/>
      <c r="B33" s="254"/>
      <c r="C33" s="255"/>
      <c r="D33" s="256"/>
      <c r="E33" s="257"/>
      <c r="F33" s="425"/>
      <c r="G33" s="259"/>
      <c r="H33" s="311"/>
      <c r="I33" s="260"/>
      <c r="J33" s="261"/>
      <c r="K33" s="255"/>
      <c r="L33" s="256"/>
      <c r="M33" s="257"/>
      <c r="N33" s="258"/>
      <c r="O33" s="259"/>
      <c r="P33" s="260"/>
      <c r="Q33" s="271" t="str">
        <f>IF(I33&lt;P33,IF(P33="","",IF(S54&lt;T54,R33,IF((H33+(P33-I33)*F30)&lt;10000,ROUNDDOWN(H33+(P33-I33)*F30,-1),ROUNDDOWN(H33+(P33-I33)*F30,-2)))),R33)</f>
        <v/>
      </c>
      <c r="R33" s="410" t="str">
        <f t="shared" ref="R33:R52" si="2">IF(P33="","",IF(I33&lt;&gt;"",IF((P33/I33*H33)&lt;10,INT(P33/I33*H33),IF((P33/I33*H33)&lt;10000,ROUNDDOWN(P33/I33*H33,-1),ROUNDDOWN(P33/I33*H33,-2)))))</f>
        <v/>
      </c>
      <c r="S33" s="411" t="str">
        <f>IF(P33="","",(R33*N33-H33*F33))</f>
        <v/>
      </c>
      <c r="T33" s="410" t="str">
        <f>IF(P33="","",(P33*N33-I33*F33)*F30)</f>
        <v/>
      </c>
    </row>
    <row r="34" spans="1:20" ht="20.25" customHeight="1">
      <c r="A34" s="262"/>
      <c r="B34" s="263"/>
      <c r="C34" s="264"/>
      <c r="D34" s="265" t="s">
        <v>2993</v>
      </c>
      <c r="E34" s="266"/>
      <c r="F34" s="426"/>
      <c r="G34" s="268"/>
      <c r="H34" s="312"/>
      <c r="I34" s="269"/>
      <c r="J34" s="270"/>
      <c r="K34" s="264"/>
      <c r="L34" s="265"/>
      <c r="M34" s="266"/>
      <c r="N34" s="267"/>
      <c r="O34" s="268"/>
      <c r="P34" s="269"/>
      <c r="Q34" s="271" t="str">
        <f>IF(I34&lt;P34,IF(P34="","",IF(S54&lt;T54,R34,IF((H34+(P34-I34)*F30)&lt;10000,ROUNDDOWN(H34+(P34-I34)*F30,-1),ROUNDDOWN(H34+(P34-I34)*F30,-2)))),R34)</f>
        <v/>
      </c>
      <c r="R34" s="410" t="str">
        <f t="shared" si="2"/>
        <v/>
      </c>
      <c r="S34" s="411" t="str">
        <f t="shared" ref="S34:S52" si="3">IF(P34="","",(R34*N34-H34*F34))</f>
        <v/>
      </c>
      <c r="T34" s="410" t="str">
        <f>IF(P34="","",(P34*N34-I34*F34)*F30)</f>
        <v/>
      </c>
    </row>
    <row r="35" spans="1:20" ht="20.25" customHeight="1">
      <c r="A35" s="262">
        <v>601</v>
      </c>
      <c r="B35" s="263">
        <v>4</v>
      </c>
      <c r="C35" s="264">
        <v>4</v>
      </c>
      <c r="D35" s="265" t="s">
        <v>2988</v>
      </c>
      <c r="E35" s="266" t="s">
        <v>2989</v>
      </c>
      <c r="F35" s="426">
        <v>48</v>
      </c>
      <c r="G35" s="268" t="s">
        <v>184</v>
      </c>
      <c r="H35" s="312">
        <v>256600</v>
      </c>
      <c r="I35" s="269">
        <f>ROUNDDOWN(1088000*F30,-2)</f>
        <v>652800</v>
      </c>
      <c r="J35" s="270">
        <v>4</v>
      </c>
      <c r="K35" s="264">
        <v>4</v>
      </c>
      <c r="L35" s="265" t="s">
        <v>2994</v>
      </c>
      <c r="M35" s="266" t="s">
        <v>2996</v>
      </c>
      <c r="N35" s="267">
        <v>4</v>
      </c>
      <c r="O35" s="268" t="s">
        <v>2982</v>
      </c>
      <c r="P35" s="269">
        <v>290000</v>
      </c>
      <c r="Q35" s="271">
        <f>IF(I35&lt;P35,IF(P35="","",IF(S54&lt;T54,R35,IF((H35+(P35-I35)*F30)&lt;10000,ROUNDDOWN(H35+(P35-I35)*F30,-1),ROUNDDOWN(H35+(P35-I35)*F30,-2)))),R35)</f>
        <v>113900</v>
      </c>
      <c r="R35" s="410">
        <f t="shared" si="2"/>
        <v>113900</v>
      </c>
      <c r="S35" s="411">
        <f t="shared" si="3"/>
        <v>-11861200</v>
      </c>
      <c r="T35" s="410">
        <f>IF(P35="","",(P35*N35-I35*F35)*F30)</f>
        <v>-18104640</v>
      </c>
    </row>
    <row r="36" spans="1:20" ht="20.25" customHeight="1">
      <c r="A36" s="262"/>
      <c r="B36" s="263"/>
      <c r="C36" s="264"/>
      <c r="D36" s="265"/>
      <c r="E36" s="266" t="s">
        <v>2990</v>
      </c>
      <c r="F36" s="426"/>
      <c r="G36" s="268"/>
      <c r="H36" s="312"/>
      <c r="I36" s="269"/>
      <c r="J36" s="270"/>
      <c r="K36" s="264"/>
      <c r="L36" s="265" t="s">
        <v>2995</v>
      </c>
      <c r="M36" s="266" t="s">
        <v>3008</v>
      </c>
      <c r="N36" s="267"/>
      <c r="O36" s="268"/>
      <c r="P36" s="269"/>
      <c r="Q36" s="271" t="str">
        <f>IF(I36&lt;P36,IF(P36="","",IF(S54&lt;T54,R36,IF((H36+(P36-I36)*F30)&lt;10000,ROUNDDOWN(H36+(P36-I36)*F30,-1),ROUNDDOWN(H36+(P36-I36)*F30,-2)))),R36)</f>
        <v/>
      </c>
      <c r="R36" s="410" t="str">
        <f t="shared" si="2"/>
        <v/>
      </c>
      <c r="S36" s="411" t="str">
        <f t="shared" si="3"/>
        <v/>
      </c>
      <c r="T36" s="410" t="str">
        <f>IF(P36="","",(P36*N36-I36*F36)*F30)</f>
        <v/>
      </c>
    </row>
    <row r="37" spans="1:20" ht="20.25" customHeight="1">
      <c r="A37" s="262"/>
      <c r="B37" s="263"/>
      <c r="C37" s="264"/>
      <c r="D37" s="265"/>
      <c r="E37" s="266"/>
      <c r="F37" s="426"/>
      <c r="G37" s="268"/>
      <c r="H37" s="312"/>
      <c r="I37" s="269"/>
      <c r="J37" s="270"/>
      <c r="K37" s="264"/>
      <c r="L37" s="265"/>
      <c r="M37" s="266" t="s">
        <v>2997</v>
      </c>
      <c r="N37" s="267"/>
      <c r="O37" s="268"/>
      <c r="P37" s="269"/>
      <c r="Q37" s="271" t="str">
        <f>IF(I37&lt;P37,IF(P37="","",IF(S54&lt;T54,R37,IF((H37+(P37-I37)*F30)&lt;10000,ROUNDDOWN(H37+(P37-I37)*F30,-1),ROUNDDOWN(H37+(P37-I37)*F30,-2)))),R37)</f>
        <v/>
      </c>
      <c r="R37" s="410" t="str">
        <f t="shared" si="2"/>
        <v/>
      </c>
      <c r="S37" s="411" t="str">
        <f t="shared" si="3"/>
        <v/>
      </c>
      <c r="T37" s="410" t="str">
        <f>IF(P37="","",(P37*N37-I37*F37)*F30)</f>
        <v/>
      </c>
    </row>
    <row r="38" spans="1:20" ht="20.25" customHeight="1">
      <c r="A38" s="262"/>
      <c r="B38" s="263"/>
      <c r="C38" s="264"/>
      <c r="D38" s="265"/>
      <c r="E38" s="266"/>
      <c r="F38" s="426"/>
      <c r="G38" s="268"/>
      <c r="H38" s="312"/>
      <c r="I38" s="269"/>
      <c r="J38" s="270"/>
      <c r="K38" s="264"/>
      <c r="L38" s="265"/>
      <c r="M38" s="266" t="s">
        <v>2998</v>
      </c>
      <c r="N38" s="267"/>
      <c r="O38" s="268"/>
      <c r="P38" s="269"/>
      <c r="Q38" s="271" t="str">
        <f>IF(I38&lt;P38,IF(P38="","",IF(S54&lt;T54,R38,IF((H38+(P38-I38)*F30)&lt;10000,ROUNDDOWN(H38+(P38-I38)*F30,-1),ROUNDDOWN(H38+(P38-I38)*F30,-2)))),R38)</f>
        <v/>
      </c>
      <c r="R38" s="410" t="str">
        <f t="shared" si="2"/>
        <v/>
      </c>
      <c r="S38" s="411" t="str">
        <f t="shared" si="3"/>
        <v/>
      </c>
      <c r="T38" s="410" t="str">
        <f>IF(P38="","",(P38*N38-I38*F38)*F30)</f>
        <v/>
      </c>
    </row>
    <row r="39" spans="1:20" ht="20.25" customHeight="1">
      <c r="A39" s="262"/>
      <c r="B39" s="263"/>
      <c r="C39" s="264"/>
      <c r="D39" s="265"/>
      <c r="E39" s="266"/>
      <c r="F39" s="426"/>
      <c r="G39" s="268"/>
      <c r="H39" s="312"/>
      <c r="I39" s="269"/>
      <c r="J39" s="270"/>
      <c r="K39" s="264"/>
      <c r="L39" s="265"/>
      <c r="M39" s="266" t="s">
        <v>2999</v>
      </c>
      <c r="N39" s="267"/>
      <c r="O39" s="268"/>
      <c r="P39" s="269"/>
      <c r="Q39" s="271" t="str">
        <f>IF(I39&lt;P39,IF(P39="","",IF(S54&lt;T54,R39,IF((H39+(P39-I39)*F30)&lt;10000,ROUNDDOWN(H39+(P39-I39)*F30,-1),ROUNDDOWN(H39+(P39-I39)*F30,-2)))),R39)</f>
        <v/>
      </c>
      <c r="R39" s="410" t="str">
        <f t="shared" si="2"/>
        <v/>
      </c>
      <c r="S39" s="411" t="str">
        <f t="shared" si="3"/>
        <v/>
      </c>
      <c r="T39" s="410" t="str">
        <f>IF(P39="","",(P39*N39-I39*F39)*F30)</f>
        <v/>
      </c>
    </row>
    <row r="40" spans="1:20" ht="20.25" customHeight="1">
      <c r="A40" s="262"/>
      <c r="B40" s="263"/>
      <c r="C40" s="264"/>
      <c r="D40" s="265"/>
      <c r="E40" s="266"/>
      <c r="F40" s="426"/>
      <c r="G40" s="268"/>
      <c r="H40" s="312"/>
      <c r="I40" s="269"/>
      <c r="J40" s="270"/>
      <c r="K40" s="264"/>
      <c r="L40" s="265"/>
      <c r="M40" s="266" t="s">
        <v>3000</v>
      </c>
      <c r="N40" s="267"/>
      <c r="O40" s="268"/>
      <c r="P40" s="269"/>
      <c r="Q40" s="271" t="str">
        <f>IF(I40&lt;P40,IF(P40="","",IF(S54&lt;T54,R40,IF((H40+(P40-I40)*F30)&lt;10000,ROUNDDOWN(H40+(P40-I40)*F30,-1),ROUNDDOWN(H40+(P40-I40)*F30,-2)))),R40)</f>
        <v/>
      </c>
      <c r="R40" s="410" t="str">
        <f t="shared" si="2"/>
        <v/>
      </c>
      <c r="S40" s="411" t="str">
        <f t="shared" si="3"/>
        <v/>
      </c>
      <c r="T40" s="410" t="str">
        <f>IF(P40="","",(P40*N40-I40*F40)*F30)</f>
        <v/>
      </c>
    </row>
    <row r="41" spans="1:20" ht="20.25" customHeight="1">
      <c r="A41" s="262"/>
      <c r="B41" s="263"/>
      <c r="C41" s="264"/>
      <c r="D41" s="265"/>
      <c r="E41" s="266"/>
      <c r="F41" s="426"/>
      <c r="G41" s="268"/>
      <c r="H41" s="312"/>
      <c r="I41" s="269"/>
      <c r="J41" s="270"/>
      <c r="K41" s="264"/>
      <c r="L41" s="265"/>
      <c r="M41" s="266" t="s">
        <v>3001</v>
      </c>
      <c r="N41" s="267"/>
      <c r="O41" s="268"/>
      <c r="P41" s="269"/>
      <c r="Q41" s="271" t="str">
        <f>IF(I41&lt;P41,IF(P41="","",IF(S54&lt;T54,R41,IF((H41+(P41-I41)*F30)&lt;10000,ROUNDDOWN(H41+(P41-I41)*F30,-1),ROUNDDOWN(H41+(P41-I41)*F30,-2)))),R41)</f>
        <v/>
      </c>
      <c r="R41" s="410" t="str">
        <f t="shared" si="2"/>
        <v/>
      </c>
      <c r="S41" s="411" t="str">
        <f t="shared" si="3"/>
        <v/>
      </c>
      <c r="T41" s="410" t="str">
        <f>IF(P41="","",(P41*N41-I41*F41)*F40)</f>
        <v/>
      </c>
    </row>
    <row r="42" spans="1:20" ht="20.25" customHeight="1">
      <c r="A42" s="262"/>
      <c r="B42" s="263"/>
      <c r="C42" s="264"/>
      <c r="D42" s="265"/>
      <c r="E42" s="266"/>
      <c r="F42" s="426"/>
      <c r="G42" s="268"/>
      <c r="H42" s="312"/>
      <c r="I42" s="269"/>
      <c r="J42" s="270"/>
      <c r="K42" s="264"/>
      <c r="L42" s="265"/>
      <c r="M42" s="266" t="s">
        <v>3002</v>
      </c>
      <c r="N42" s="267"/>
      <c r="O42" s="268"/>
      <c r="P42" s="269"/>
      <c r="Q42" s="271" t="str">
        <f>IF(I42&lt;P42,IF(P42="","",IF(S54&lt;T54,R42,IF((H42+(P42-I42)*F30)&lt;10000,ROUNDDOWN(H42+(P42-I42)*F30,-1),ROUNDDOWN(H42+(P42-I42)*F30,-2)))),R42)</f>
        <v/>
      </c>
      <c r="R42" s="410" t="str">
        <f t="shared" si="2"/>
        <v/>
      </c>
      <c r="S42" s="411" t="str">
        <f t="shared" si="3"/>
        <v/>
      </c>
      <c r="T42" s="410" t="str">
        <f>IF(P42="","",(P42*N42-I42*F42)*F30)</f>
        <v/>
      </c>
    </row>
    <row r="43" spans="1:20" ht="20.25" customHeight="1">
      <c r="A43" s="262"/>
      <c r="B43" s="263"/>
      <c r="C43" s="264"/>
      <c r="D43" s="265"/>
      <c r="E43" s="266"/>
      <c r="F43" s="426"/>
      <c r="G43" s="268"/>
      <c r="H43" s="312"/>
      <c r="I43" s="269"/>
      <c r="J43" s="270"/>
      <c r="K43" s="264"/>
      <c r="L43" s="265"/>
      <c r="M43" s="266"/>
      <c r="N43" s="267"/>
      <c r="O43" s="268"/>
      <c r="P43" s="269"/>
      <c r="Q43" s="271" t="str">
        <f>IF(I43&lt;P43,IF(P43="","",IF(S54&lt;T54,R43,IF((H43+(P43-I43)*F30)&lt;10000,ROUNDDOWN(H43+(P43-I43)*F30,-1),ROUNDDOWN(H43+(P43-I43)*F30,-2)))),R43)</f>
        <v/>
      </c>
      <c r="R43" s="410" t="str">
        <f t="shared" si="2"/>
        <v/>
      </c>
      <c r="S43" s="411" t="str">
        <f t="shared" si="3"/>
        <v/>
      </c>
      <c r="T43" s="410" t="str">
        <f>IF(P43="","",(P43*N43-I43*F43)*F30)</f>
        <v/>
      </c>
    </row>
    <row r="44" spans="1:20" ht="20.25" customHeight="1">
      <c r="A44" s="262">
        <v>602</v>
      </c>
      <c r="B44" s="263">
        <v>4</v>
      </c>
      <c r="C44" s="264">
        <v>4</v>
      </c>
      <c r="D44" s="265" t="s">
        <v>2988</v>
      </c>
      <c r="E44" s="266" t="s">
        <v>2989</v>
      </c>
      <c r="F44" s="426">
        <v>48</v>
      </c>
      <c r="G44" s="268" t="s">
        <v>184</v>
      </c>
      <c r="H44" s="312">
        <v>256600</v>
      </c>
      <c r="I44" s="269">
        <f>ROUNDDOWN(1088000*F30,-2)</f>
        <v>652800</v>
      </c>
      <c r="J44" s="270">
        <v>4</v>
      </c>
      <c r="K44" s="264">
        <v>4</v>
      </c>
      <c r="L44" s="265" t="s">
        <v>3004</v>
      </c>
      <c r="M44" s="266" t="s">
        <v>3006</v>
      </c>
      <c r="N44" s="267">
        <v>14</v>
      </c>
      <c r="O44" s="268" t="s">
        <v>2982</v>
      </c>
      <c r="P44" s="269">
        <v>405000</v>
      </c>
      <c r="Q44" s="271">
        <f>IF(I44&lt;P44,IF(P44="","",IF(S54&lt;T54,R44,IF((H44+(P44-I44)*F30)&lt;10000,ROUNDDOWN(H44+(P44-I44)*F30,-1),ROUNDDOWN(H44+(P44-I44)*F30,-2)))),R44)</f>
        <v>159100</v>
      </c>
      <c r="R44" s="410">
        <f t="shared" si="2"/>
        <v>159100</v>
      </c>
      <c r="S44" s="411">
        <f t="shared" si="3"/>
        <v>-10089400</v>
      </c>
      <c r="T44" s="410">
        <f>IF(P44="","",(P44*N44-I44*F44)*F30)</f>
        <v>-15398640</v>
      </c>
    </row>
    <row r="45" spans="1:20" ht="20.25" customHeight="1">
      <c r="A45" s="262"/>
      <c r="B45" s="263"/>
      <c r="C45" s="264"/>
      <c r="D45" s="265"/>
      <c r="E45" s="266" t="s">
        <v>2990</v>
      </c>
      <c r="F45" s="426"/>
      <c r="G45" s="268"/>
      <c r="H45" s="312"/>
      <c r="I45" s="269"/>
      <c r="J45" s="270"/>
      <c r="K45" s="264"/>
      <c r="L45" s="265" t="s">
        <v>2995</v>
      </c>
      <c r="M45" s="266" t="s">
        <v>3007</v>
      </c>
      <c r="N45" s="267"/>
      <c r="O45" s="268"/>
      <c r="P45" s="269"/>
      <c r="Q45" s="271" t="str">
        <f>IF(I45&lt;P45,IF(P45="","",IF(S54&lt;T54,R45,IF((H45+(P45-I45)*F30)&lt;10000,ROUNDDOWN(H45+(P45-I45)*F30,-1),ROUNDDOWN(H45+(P45-I45)*F30,-2)))),R45)</f>
        <v/>
      </c>
      <c r="R45" s="410" t="str">
        <f t="shared" si="2"/>
        <v/>
      </c>
      <c r="S45" s="411" t="str">
        <f t="shared" si="3"/>
        <v/>
      </c>
      <c r="T45" s="410" t="str">
        <f>IF(P45="","",(P45*N45-I45*F45)*F30)</f>
        <v/>
      </c>
    </row>
    <row r="46" spans="1:20" ht="20.25" customHeight="1">
      <c r="A46" s="262"/>
      <c r="B46" s="263"/>
      <c r="C46" s="264"/>
      <c r="D46" s="265"/>
      <c r="E46" s="266"/>
      <c r="F46" s="426"/>
      <c r="G46" s="268"/>
      <c r="H46" s="312"/>
      <c r="I46" s="269"/>
      <c r="J46" s="270"/>
      <c r="K46" s="264"/>
      <c r="L46" s="265"/>
      <c r="M46" s="266" t="s">
        <v>2997</v>
      </c>
      <c r="N46" s="267"/>
      <c r="O46" s="268"/>
      <c r="P46" s="269"/>
      <c r="Q46" s="271" t="str">
        <f>IF(I46&lt;P46,IF(P46="","",IF(S54&lt;T54,R46,IF((H46+(P46-I46)*F30)&lt;10000,ROUNDDOWN(H46+(P46-I46)*F30,-1),ROUNDDOWN(H46+(P46-I46)*F30,-2)))),R46)</f>
        <v/>
      </c>
      <c r="R46" s="410" t="str">
        <f t="shared" si="2"/>
        <v/>
      </c>
      <c r="S46" s="411" t="str">
        <f t="shared" si="3"/>
        <v/>
      </c>
      <c r="T46" s="410" t="str">
        <f>IF(P46="","",(P46*N46-I46*F46)*F30)</f>
        <v/>
      </c>
    </row>
    <row r="47" spans="1:20" ht="20.25" customHeight="1">
      <c r="A47" s="262"/>
      <c r="B47" s="263"/>
      <c r="C47" s="264"/>
      <c r="D47" s="265"/>
      <c r="E47" s="266"/>
      <c r="F47" s="426"/>
      <c r="G47" s="268"/>
      <c r="H47" s="312"/>
      <c r="I47" s="269"/>
      <c r="J47" s="270"/>
      <c r="K47" s="264"/>
      <c r="L47" s="265"/>
      <c r="M47" s="266" t="s">
        <v>2998</v>
      </c>
      <c r="N47" s="267"/>
      <c r="O47" s="268"/>
      <c r="P47" s="269"/>
      <c r="Q47" s="271" t="str">
        <f>IF(I47&lt;P47,IF(P47="","",IF(S54&lt;T54,R47,IF((H47+(P47-I47)*F30)&lt;10000,ROUNDDOWN(H47+(P47-I47)*F30,-1),ROUNDDOWN(H47+(P47-I47)*F30,-2)))),R47)</f>
        <v/>
      </c>
      <c r="R47" s="410" t="str">
        <f t="shared" si="2"/>
        <v/>
      </c>
      <c r="S47" s="411" t="str">
        <f t="shared" si="3"/>
        <v/>
      </c>
      <c r="T47" s="410" t="str">
        <f>IF(P47="","",(P47*N47-I47*F47)*F30)</f>
        <v/>
      </c>
    </row>
    <row r="48" spans="1:20" ht="20.25" customHeight="1">
      <c r="A48" s="262"/>
      <c r="B48" s="263"/>
      <c r="C48" s="264"/>
      <c r="D48" s="265"/>
      <c r="E48" s="266"/>
      <c r="F48" s="426"/>
      <c r="G48" s="268"/>
      <c r="H48" s="312"/>
      <c r="I48" s="269"/>
      <c r="J48" s="270"/>
      <c r="K48" s="264"/>
      <c r="L48" s="265"/>
      <c r="M48" s="266" t="s">
        <v>2999</v>
      </c>
      <c r="N48" s="267"/>
      <c r="O48" s="268"/>
      <c r="P48" s="269"/>
      <c r="Q48" s="271" t="str">
        <f>IF(I48&lt;P48,IF(P48="","",IF(S54&lt;T54,R48,IF((H48+(P48-I48)*F30)&lt;10000,ROUNDDOWN(H48+(P48-I48)*F30,-1),ROUNDDOWN(H48+(P48-I48)*F30,-2)))),R48)</f>
        <v/>
      </c>
      <c r="R48" s="410" t="str">
        <f t="shared" si="2"/>
        <v/>
      </c>
      <c r="S48" s="411" t="str">
        <f t="shared" si="3"/>
        <v/>
      </c>
      <c r="T48" s="410" t="str">
        <f>IF(P48="","",(P48*N48-I48*F48)*F30)</f>
        <v/>
      </c>
    </row>
    <row r="49" spans="1:20" ht="20.25" customHeight="1">
      <c r="A49" s="262"/>
      <c r="B49" s="263"/>
      <c r="C49" s="264"/>
      <c r="D49" s="265"/>
      <c r="E49" s="266"/>
      <c r="F49" s="426"/>
      <c r="G49" s="268"/>
      <c r="H49" s="312"/>
      <c r="I49" s="269"/>
      <c r="J49" s="270"/>
      <c r="K49" s="264"/>
      <c r="L49" s="265"/>
      <c r="M49" s="266" t="s">
        <v>3000</v>
      </c>
      <c r="N49" s="267"/>
      <c r="O49" s="268"/>
      <c r="P49" s="269"/>
      <c r="Q49" s="271" t="str">
        <f>IF(I49&lt;P49,IF(P49="","",IF(S54&lt;T54,R49,IF((H49+(P49-I49)*F30)&lt;10000,ROUNDDOWN(H49+(P49-I49)*F30,-1),ROUNDDOWN(H49+(P49-I49)*F30,-2)))),R49)</f>
        <v/>
      </c>
      <c r="R49" s="410" t="str">
        <f t="shared" si="2"/>
        <v/>
      </c>
      <c r="S49" s="411" t="str">
        <f t="shared" si="3"/>
        <v/>
      </c>
      <c r="T49" s="410" t="str">
        <f>IF(P49="","",(P49*N49-I49*F49)*F30)</f>
        <v/>
      </c>
    </row>
    <row r="50" spans="1:20" ht="20.25" customHeight="1">
      <c r="A50" s="262"/>
      <c r="B50" s="263"/>
      <c r="C50" s="264"/>
      <c r="D50" s="265"/>
      <c r="E50" s="266"/>
      <c r="F50" s="426"/>
      <c r="G50" s="268"/>
      <c r="H50" s="312"/>
      <c r="I50" s="269"/>
      <c r="J50" s="270"/>
      <c r="K50" s="264"/>
      <c r="L50" s="265"/>
      <c r="M50" s="266" t="s">
        <v>3001</v>
      </c>
      <c r="N50" s="267"/>
      <c r="O50" s="268"/>
      <c r="P50" s="269"/>
      <c r="Q50" s="271" t="str">
        <f>IF(I50&lt;P50,IF(P50="","",IF(S54&lt;T54,R50,IF((H50+(P50-I50)*F30)&lt;10000,ROUNDDOWN(H50+(P50-I50)*F30,-1),ROUNDDOWN(H50+(P50-I50)*F30,-2)))),R50)</f>
        <v/>
      </c>
      <c r="R50" s="410" t="str">
        <f t="shared" si="2"/>
        <v/>
      </c>
      <c r="S50" s="411" t="str">
        <f t="shared" si="3"/>
        <v/>
      </c>
      <c r="T50" s="410" t="str">
        <f>IF(P50="","",(P50*N50-I50*F50)*F30)</f>
        <v/>
      </c>
    </row>
    <row r="51" spans="1:20" ht="20.25" customHeight="1">
      <c r="A51" s="262"/>
      <c r="B51" s="263"/>
      <c r="C51" s="264"/>
      <c r="D51" s="265"/>
      <c r="E51" s="266"/>
      <c r="F51" s="426"/>
      <c r="G51" s="268"/>
      <c r="H51" s="312"/>
      <c r="I51" s="269"/>
      <c r="J51" s="270"/>
      <c r="K51" s="264"/>
      <c r="L51" s="265"/>
      <c r="M51" s="266" t="s">
        <v>3002</v>
      </c>
      <c r="N51" s="267"/>
      <c r="O51" s="268"/>
      <c r="P51" s="269"/>
      <c r="Q51" s="271" t="str">
        <f>IF(I51&lt;P51,IF(P51="","",IF(S54&lt;T54,R51,IF((H51+(P51-I51)*F30)&lt;10000,ROUNDDOWN(H51+(P51-I51)*F30,-1),ROUNDDOWN(H51+(P51-I51)*F30,-2)))),R51)</f>
        <v/>
      </c>
      <c r="R51" s="410" t="str">
        <f t="shared" si="2"/>
        <v/>
      </c>
      <c r="S51" s="411" t="str">
        <f t="shared" si="3"/>
        <v/>
      </c>
      <c r="T51" s="410" t="str">
        <f>IF(P51="","",(P51*N51-I51*F51)*F30)</f>
        <v/>
      </c>
    </row>
    <row r="52" spans="1:20" ht="20.25" customHeight="1" thickBot="1">
      <c r="A52" s="391"/>
      <c r="B52" s="392"/>
      <c r="C52" s="393"/>
      <c r="D52" s="394"/>
      <c r="E52" s="395"/>
      <c r="F52" s="427"/>
      <c r="G52" s="397"/>
      <c r="H52" s="298"/>
      <c r="I52" s="398"/>
      <c r="J52" s="270"/>
      <c r="K52" s="264"/>
      <c r="L52" s="265"/>
      <c r="M52" s="266"/>
      <c r="N52" s="267"/>
      <c r="O52" s="268"/>
      <c r="P52" s="398"/>
      <c r="Q52" s="271" t="str">
        <f>IF(I52&lt;P52,IF(P52="","",IF(S54&lt;T54,R52,IF((H52+(P52-I52)*F30)&lt;10000,ROUNDDOWN(H52+(P52-I52)*F30,-1),ROUNDDOWN(H52+(P52-I52)*F30,-2)))),R52)</f>
        <v/>
      </c>
      <c r="R52" s="412" t="str">
        <f t="shared" si="2"/>
        <v/>
      </c>
      <c r="S52" s="411" t="str">
        <f t="shared" si="3"/>
        <v/>
      </c>
      <c r="T52" s="410" t="str">
        <f>IF(P52="","",(P52*N52-I52*F52)*F30)</f>
        <v/>
      </c>
    </row>
    <row r="53" spans="1:20" ht="20.25" customHeight="1" thickBot="1">
      <c r="A53" s="400"/>
      <c r="B53" s="401"/>
      <c r="C53" s="401"/>
      <c r="D53" s="402"/>
      <c r="E53" s="402"/>
      <c r="F53" s="402"/>
      <c r="G53" s="403"/>
      <c r="H53" s="404"/>
      <c r="I53" s="405"/>
      <c r="J53" s="401"/>
      <c r="K53" s="401"/>
      <c r="L53" s="402"/>
      <c r="M53" s="420"/>
      <c r="N53" s="422"/>
      <c r="O53" s="422"/>
      <c r="P53" s="423" t="s">
        <v>284</v>
      </c>
      <c r="Q53" s="419"/>
      <c r="R53" s="406" t="s">
        <v>282</v>
      </c>
      <c r="S53" s="407">
        <f>IF($Q53="",IF(SUM(S33:S52)=0,"",SUM(S33:S52)),IF(S26="","",SUM(S33:S52)+S26))</f>
        <v>-21950600</v>
      </c>
      <c r="T53" s="408">
        <f>IF($Q53="",IF(SUM(T33:T52)=0,"",SUM(T33:T52)),IF(T26="","",SUM(T33:T52)+T26))</f>
        <v>-33503280</v>
      </c>
    </row>
    <row r="54" spans="1:20" ht="20.25" customHeight="1" thickBot="1">
      <c r="N54" s="20" t="str">
        <f>IF(A58="","EOL","")</f>
        <v>EOL</v>
      </c>
      <c r="O54" s="32">
        <f ca="1">OFFSET(O54,-27,0,1,1)+1</f>
        <v>2</v>
      </c>
      <c r="P54" s="20"/>
      <c r="R54" s="406" t="s">
        <v>285</v>
      </c>
      <c r="S54" s="407">
        <f ca="1">IF(OFFSET(Q53,27,0,1,1)="",S53,OFFSET(S53,27,0,1,1))</f>
        <v>-21950600</v>
      </c>
      <c r="T54" s="408">
        <f ca="1">IF(OFFSET(Q53,27,0,1,1)="",T53,OFFSET(T53,27,0,1,1))</f>
        <v>-33503280</v>
      </c>
    </row>
  </sheetData>
  <mergeCells count="12">
    <mergeCell ref="A1:L1"/>
    <mergeCell ref="N1:P1"/>
    <mergeCell ref="D2:G2"/>
    <mergeCell ref="F3:G3"/>
    <mergeCell ref="J2:T2"/>
    <mergeCell ref="J3:T3"/>
    <mergeCell ref="A28:L28"/>
    <mergeCell ref="N28:P28"/>
    <mergeCell ref="D29:G29"/>
    <mergeCell ref="J29:T29"/>
    <mergeCell ref="F30:G30"/>
    <mergeCell ref="J30:T30"/>
  </mergeCells>
  <phoneticPr fontId="2"/>
  <dataValidations xWindow="413" yWindow="154" count="41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" xr:uid="{00000000-0002-0000-1400-000000000000}">
      <formula1>IF(SUM(H6:I26)&gt;0,H3=0,TRUE)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6 H33" xr:uid="{00000000-0002-0000-1400-000001000000}">
      <formula1>IF(SUM(H3:I3)&gt;0,H6=0,TRUE)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6 I33" xr:uid="{00000000-0002-0000-1400-000002000000}">
      <formula1>IF(SUM(H3:I3)&gt;0,I6=0,TRUE)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7" xr:uid="{00000000-0002-0000-1400-000003000000}">
      <formula1>IF(SUM(H3:I3)&gt;0,H7=0,TRUE)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7 I34:I35 I44" xr:uid="{00000000-0002-0000-1400-000004000000}">
      <formula1>IF(SUM(H3:I3)&gt;0,I7=0,TRUE)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8" xr:uid="{00000000-0002-0000-1400-000005000000}">
      <formula1>IF(SUM(H3:I3)&gt;0,I8=0,TRUE)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8" xr:uid="{00000000-0002-0000-1400-000006000000}">
      <formula1>IF(SUM(H3:I3)&gt;0,H8=0,TRUE)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9" xr:uid="{00000000-0002-0000-1400-000007000000}">
      <formula1>IF(SUM(H3:I3)&gt;0,H9=0,TRUE)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9 I36 I45" xr:uid="{00000000-0002-0000-1400-000008000000}">
      <formula1>IF(SUM(H3:I3)&gt;0,I9=0,TRUE)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0" xr:uid="{00000000-0002-0000-1400-000009000000}">
      <formula1>IF(SUM(H3:I3)&gt;0,H10=0,TRUE)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0 I37" xr:uid="{00000000-0002-0000-1400-00000A000000}">
      <formula1>IF(SUM(H3:I3)&gt;0,I10=0,TRUE)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 H16 H34" xr:uid="{00000000-0002-0000-1400-00000B000000}">
      <formula1>IF(SUM(H3:I3)&gt;0,H11=0,TRUE)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 I16 I38" xr:uid="{00000000-0002-0000-1400-00000C000000}">
      <formula1>IF(SUM(H3:I3)&gt;0,I11=0,TRUE)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 H17 H38:H39 H35 H44" xr:uid="{00000000-0002-0000-1400-00000D000000}">
      <formula1>IF(SUM(H3:I3)&gt;0,H12=0,TRUE)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 I17 I39" xr:uid="{00000000-0002-0000-1400-00000E000000}">
      <formula1>IF(SUM(H3:I3)&gt;0,I12=0,TRUE)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 H18 H40 H36 H45" xr:uid="{00000000-0002-0000-1400-00000F000000}">
      <formula1>IF(SUM(H3:I3)&gt;0,H13=0,TRUE)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 I18 I40" xr:uid="{00000000-0002-0000-1400-000010000000}">
      <formula1>IF(SUM(H3:I3)&gt;0,I13=0,TRUE)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4 H19 H41 H37" xr:uid="{00000000-0002-0000-1400-000011000000}">
      <formula1>IF(SUM(H3:I3)&gt;0,H14=0,TRUE)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4 I19 I41" xr:uid="{00000000-0002-0000-1400-000012000000}">
      <formula1>IF(SUM(H3:I3)&gt;0,I14=0,TRUE)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5 H42" xr:uid="{00000000-0002-0000-1400-000013000000}">
      <formula1>IF(SUM(H3:I3)&gt;0,H15=0,TRUE)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5 I42" xr:uid="{00000000-0002-0000-1400-000014000000}">
      <formula1>IF(SUM(H3:I3)&gt;0,I15=0,TRUE)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0 H47" xr:uid="{00000000-0002-0000-1400-000015000000}">
      <formula1>IF(SUM(H3:I3)&gt;0,H20=0,TRUE)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0 I47" xr:uid="{00000000-0002-0000-1400-000016000000}">
      <formula1>IF(SUM(H3:I3)&gt;0,I20=0,TRUE)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1 H48" xr:uid="{00000000-0002-0000-1400-000017000000}">
      <formula1>IF(SUM(H3:I3)&gt;0,H21=0,TRUE)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1 I48" xr:uid="{00000000-0002-0000-1400-000018000000}">
      <formula1>IF(SUM(H3:I3)&gt;0,I21=0,TRUE)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2 H49" xr:uid="{00000000-0002-0000-1400-000019000000}">
      <formula1>IF(SUM(H3:I3)&gt;0,H22=0,TRUE)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2 I49" xr:uid="{00000000-0002-0000-1400-00001A000000}">
      <formula1>IF(SUM(H3:I3)&gt;0,I22=0,TRUE)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3 H50" xr:uid="{00000000-0002-0000-1400-00001B000000}">
      <formula1>IF(SUM(H3:I3)&gt;0,H23=0,TRUE)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3 I50" xr:uid="{00000000-0002-0000-1400-00001C000000}">
      <formula1>IF(SUM(H3:I3)&gt;0,I23=0,TRUE)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4 H51" xr:uid="{00000000-0002-0000-1400-00001D000000}">
      <formula1>IF(SUM(H3:I3)&gt;0,H24=0,TRUE)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4 I51" xr:uid="{00000000-0002-0000-1400-00001E000000}">
      <formula1>IF(SUM(H3:I3)&gt;0,I24=0,TRUE)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5 H52" xr:uid="{00000000-0002-0000-1400-00001F000000}">
      <formula1>IF(SUM(H3:I3)&gt;0,H25=0,TRUE)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5 I52" xr:uid="{00000000-0002-0000-1400-000020000000}">
      <formula1>IF(SUM(H3:I3)&gt;0,I25=0,TRUE)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6 H53" xr:uid="{00000000-0002-0000-1400-000021000000}">
      <formula1>IF(SUM(H3:I3)&gt;0,H26=0,TRUE)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6 I53" xr:uid="{00000000-0002-0000-1400-000022000000}">
      <formula1>IF(SUM(H3:I3)&gt;0,I26=0,TRUE)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3 I30" xr:uid="{00000000-0002-0000-1400-000023000000}">
      <formula1>IF(SUM(H6:I26)&gt;0,I3=0,TRUE)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6" xr:uid="{00000000-0002-0000-1400-000024000000}">
      <formula1>IF(SUM(H30:I30)&gt;0,I46=0,TRUE)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6" xr:uid="{00000000-0002-0000-1400-000025000000}">
      <formula1>IF(SUM(H30:I30)&gt;0,H46=0,TRUE)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3" xr:uid="{00000000-0002-0000-1400-000026000000}">
      <formula1>IF(SUM(H30:I30)&gt;0,I43=0,TRUE)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3" xr:uid="{00000000-0002-0000-1400-000027000000}">
      <formula1>IF(SUM(H30:I30)&gt;0,H43=0,TRUE)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0" xr:uid="{00000000-0002-0000-1400-000028000000}">
      <formula1>IF(SUM(H33:I53)&gt;0,H30=0,TRUE)</formula1>
    </dataValidation>
  </dataValidations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7" max="1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/>
  <dimension ref="A1:AE27"/>
  <sheetViews>
    <sheetView topLeftCell="B1" zoomScaleNormal="100" workbookViewId="0">
      <selection activeCell="B1" sqref="A1:XFD1048576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C1" s="81" t="str">
        <f>工事3!C2</f>
        <v>ア)東梅田駅の部-整列乗車対策工事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846" t="s">
        <v>291</v>
      </c>
      <c r="H2" s="2847"/>
      <c r="I2" s="2847"/>
      <c r="J2" s="2848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9.48</v>
      </c>
      <c r="O2" s="2849" t="s">
        <v>268</v>
      </c>
      <c r="P2" s="2850"/>
      <c r="Q2" s="2850"/>
      <c r="R2" s="2851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9.48</v>
      </c>
      <c r="W2" s="373"/>
    </row>
    <row r="3" spans="1:31" ht="15" customHeight="1">
      <c r="B3" s="174"/>
      <c r="E3" s="369"/>
      <c r="G3" s="2852" t="s">
        <v>292</v>
      </c>
      <c r="H3" s="2853"/>
      <c r="I3" s="2853"/>
      <c r="J3" s="2854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855" t="s">
        <v>269</v>
      </c>
      <c r="P3" s="2856"/>
      <c r="Q3" s="2856"/>
      <c r="R3" s="2857"/>
      <c r="S3" s="374">
        <f>+P9</f>
        <v>0</v>
      </c>
      <c r="T3" s="375">
        <f>+Q9</f>
        <v>0</v>
      </c>
      <c r="U3" s="375">
        <f>+R9</f>
        <v>0</v>
      </c>
      <c r="V3" s="376">
        <f>+S9</f>
        <v>9.48</v>
      </c>
      <c r="W3" s="373"/>
    </row>
    <row r="4" spans="1:31" ht="15" customHeight="1">
      <c r="B4" s="174"/>
      <c r="E4" s="369"/>
      <c r="G4" s="2852" t="s">
        <v>293</v>
      </c>
      <c r="H4" s="2853"/>
      <c r="I4" s="2853"/>
      <c r="J4" s="2854"/>
      <c r="K4" s="374">
        <f>+L9</f>
        <v>0</v>
      </c>
      <c r="L4" s="375">
        <f>+M9</f>
        <v>0</v>
      </c>
      <c r="M4" s="375">
        <f>+N9</f>
        <v>0</v>
      </c>
      <c r="N4" s="376">
        <f>+O9</f>
        <v>9.48</v>
      </c>
      <c r="O4" s="2855" t="s">
        <v>270</v>
      </c>
      <c r="P4" s="2856"/>
      <c r="Q4" s="2856"/>
      <c r="R4" s="2857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843"/>
      <c r="H5" s="2844"/>
      <c r="I5" s="2844"/>
      <c r="J5" s="2845"/>
      <c r="K5" s="377"/>
      <c r="L5" s="377"/>
      <c r="M5" s="377"/>
      <c r="N5" s="377"/>
      <c r="O5" s="2843" t="s">
        <v>294</v>
      </c>
      <c r="P5" s="2844"/>
      <c r="Q5" s="2844"/>
      <c r="R5" s="2845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834" t="s">
        <v>263</v>
      </c>
      <c r="I7" s="2835"/>
      <c r="J7" s="2835"/>
      <c r="K7" s="2836"/>
      <c r="L7" s="2834" t="s">
        <v>295</v>
      </c>
      <c r="M7" s="2835"/>
      <c r="N7" s="2835"/>
      <c r="O7" s="2836"/>
      <c r="P7" s="2834" t="s">
        <v>296</v>
      </c>
      <c r="Q7" s="2835"/>
      <c r="R7" s="2835"/>
      <c r="S7" s="2836"/>
      <c r="T7" s="2834" t="s">
        <v>271</v>
      </c>
      <c r="U7" s="2835"/>
      <c r="V7" s="2835"/>
      <c r="W7" s="2836"/>
      <c r="X7" s="2834" t="s">
        <v>297</v>
      </c>
      <c r="Y7" s="2835"/>
      <c r="Z7" s="2835"/>
      <c r="AA7" s="2836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AA9" si="0">SUM(H10:H15)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9.48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9.48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si="0"/>
        <v>0</v>
      </c>
      <c r="Y9" s="194">
        <f t="shared" si="0"/>
        <v>0</v>
      </c>
      <c r="Z9" s="194">
        <f t="shared" si="0"/>
        <v>0</v>
      </c>
      <c r="AA9" s="195">
        <f t="shared" si="0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B11" s="184" t="s">
        <v>3394</v>
      </c>
      <c r="C11" s="185"/>
      <c r="D11" s="186">
        <v>1.2</v>
      </c>
      <c r="E11" s="188">
        <v>4</v>
      </c>
      <c r="F11" s="434">
        <v>0</v>
      </c>
      <c r="G11" s="435">
        <v>0</v>
      </c>
      <c r="H11" s="196"/>
      <c r="I11" s="197"/>
      <c r="J11" s="197"/>
      <c r="K11" s="198"/>
      <c r="L11" s="196"/>
      <c r="M11" s="197"/>
      <c r="N11" s="197"/>
      <c r="O11" s="198">
        <f>D11*(E11+F11+G11)</f>
        <v>4.8</v>
      </c>
      <c r="P11" s="196"/>
      <c r="Q11" s="197"/>
      <c r="R11" s="197"/>
      <c r="S11" s="198">
        <f>D11*E11</f>
        <v>4.8</v>
      </c>
      <c r="T11" s="196"/>
      <c r="U11" s="197"/>
      <c r="V11" s="197"/>
      <c r="W11" s="198">
        <f>D11*F11</f>
        <v>0</v>
      </c>
      <c r="X11" s="196"/>
      <c r="Y11" s="197"/>
      <c r="Z11" s="197"/>
      <c r="AA11" s="198">
        <f>D11*G11</f>
        <v>0</v>
      </c>
    </row>
    <row r="12" spans="1:31" s="172" customFormat="1" ht="11.25" customHeight="1">
      <c r="B12" s="184" t="s">
        <v>3396</v>
      </c>
      <c r="C12" s="185" t="s">
        <v>3398</v>
      </c>
      <c r="D12" s="186">
        <v>12</v>
      </c>
      <c r="E12" s="188">
        <v>0.39</v>
      </c>
      <c r="F12" s="434">
        <v>0</v>
      </c>
      <c r="G12" s="435">
        <v>0</v>
      </c>
      <c r="H12" s="196"/>
      <c r="I12" s="197"/>
      <c r="J12" s="197"/>
      <c r="K12" s="198"/>
      <c r="L12" s="196"/>
      <c r="M12" s="197"/>
      <c r="N12" s="197"/>
      <c r="O12" s="198">
        <f>D12*(E12+F12+G12)</f>
        <v>4.68</v>
      </c>
      <c r="P12" s="196"/>
      <c r="Q12" s="197"/>
      <c r="R12" s="197"/>
      <c r="S12" s="198">
        <f>D12*E12</f>
        <v>4.68</v>
      </c>
      <c r="T12" s="196"/>
      <c r="U12" s="197"/>
      <c r="V12" s="197"/>
      <c r="W12" s="198">
        <f>D12*F12</f>
        <v>0</v>
      </c>
      <c r="X12" s="196"/>
      <c r="Y12" s="197"/>
      <c r="Z12" s="197"/>
      <c r="AA12" s="198">
        <f>D12*G12</f>
        <v>0</v>
      </c>
    </row>
    <row r="13" spans="1:31" s="172" customFormat="1" ht="11.25" customHeight="1">
      <c r="B13" s="184"/>
      <c r="C13" s="185"/>
      <c r="D13" s="186"/>
      <c r="E13" s="188"/>
      <c r="F13" s="434"/>
      <c r="G13" s="435"/>
      <c r="H13" s="196"/>
      <c r="I13" s="197"/>
      <c r="J13" s="197"/>
      <c r="K13" s="198"/>
      <c r="L13" s="196"/>
      <c r="M13" s="197"/>
      <c r="N13" s="197"/>
      <c r="O13" s="198"/>
      <c r="P13" s="196"/>
      <c r="Q13" s="197"/>
      <c r="R13" s="197"/>
      <c r="S13" s="198"/>
      <c r="T13" s="196"/>
      <c r="U13" s="197"/>
      <c r="V13" s="197"/>
      <c r="W13" s="198"/>
      <c r="X13" s="196"/>
      <c r="Y13" s="197"/>
      <c r="Z13" s="197"/>
      <c r="AA13" s="198"/>
    </row>
    <row r="14" spans="1:31" s="172" customFormat="1" ht="11.25" customHeight="1">
      <c r="A14" s="159" t="s">
        <v>301</v>
      </c>
      <c r="B14" s="178"/>
      <c r="C14" s="179"/>
      <c r="D14" s="180"/>
      <c r="E14" s="189"/>
      <c r="F14" s="436"/>
      <c r="G14" s="437"/>
      <c r="H14" s="199">
        <f>D14*E14</f>
        <v>0</v>
      </c>
      <c r="I14" s="200"/>
      <c r="J14" s="200"/>
      <c r="K14" s="201"/>
      <c r="L14" s="199"/>
      <c r="M14" s="200"/>
      <c r="N14" s="200"/>
      <c r="O14" s="201"/>
      <c r="P14" s="199"/>
      <c r="Q14" s="200"/>
      <c r="R14" s="200"/>
      <c r="S14" s="201"/>
      <c r="T14" s="199"/>
      <c r="U14" s="200"/>
      <c r="V14" s="200"/>
      <c r="W14" s="201"/>
      <c r="X14" s="199"/>
      <c r="Y14" s="200"/>
      <c r="Z14" s="200"/>
      <c r="AA14" s="201"/>
    </row>
    <row r="15" spans="1:31">
      <c r="A15" s="81"/>
      <c r="B15" s="176"/>
      <c r="C15" s="177"/>
      <c r="D15" s="183"/>
      <c r="E15" s="190"/>
      <c r="F15" s="438"/>
      <c r="G15" s="439"/>
      <c r="H15" s="202"/>
      <c r="I15" s="203"/>
      <c r="J15" s="203"/>
      <c r="K15" s="204"/>
      <c r="L15" s="202"/>
      <c r="M15" s="203"/>
      <c r="N15" s="203"/>
      <c r="O15" s="204"/>
      <c r="P15" s="202"/>
      <c r="Q15" s="203"/>
      <c r="R15" s="203"/>
      <c r="S15" s="204"/>
      <c r="T15" s="202"/>
      <c r="U15" s="203"/>
      <c r="V15" s="203"/>
      <c r="W15" s="204"/>
      <c r="X15" s="202"/>
      <c r="Y15" s="203"/>
      <c r="Z15" s="203"/>
      <c r="AA15" s="204"/>
    </row>
    <row r="16" spans="1:31" ht="14">
      <c r="B16" s="175" t="s">
        <v>140</v>
      </c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23" ht="15" customHeight="1">
      <c r="B17" s="166" t="s">
        <v>138</v>
      </c>
      <c r="C17" s="167"/>
      <c r="D17" s="168"/>
      <c r="E17" s="2837" t="s">
        <v>127</v>
      </c>
      <c r="F17" s="2838"/>
      <c r="G17" s="2838"/>
      <c r="H17" s="2838"/>
      <c r="I17" s="2838"/>
      <c r="J17" s="2838"/>
      <c r="K17" s="2838"/>
      <c r="L17" s="2838"/>
      <c r="M17" s="2838"/>
      <c r="N17" s="2838"/>
      <c r="O17" s="2838"/>
      <c r="P17" s="2838"/>
      <c r="Q17" s="2838"/>
      <c r="R17" s="2839"/>
      <c r="S17" s="2840"/>
      <c r="T17" s="2834" t="s">
        <v>302</v>
      </c>
      <c r="U17" s="2841"/>
      <c r="V17" s="2841"/>
      <c r="W17" s="2842"/>
    </row>
    <row r="18" spans="1:23" ht="13.5" customHeight="1">
      <c r="B18" s="233"/>
      <c r="C18" s="234"/>
      <c r="D18" s="235"/>
      <c r="E18" s="277" t="s">
        <v>303</v>
      </c>
      <c r="F18" s="278" t="s">
        <v>304</v>
      </c>
      <c r="G18" s="278" t="s">
        <v>211</v>
      </c>
      <c r="H18" s="278" t="s">
        <v>211</v>
      </c>
      <c r="I18" s="278" t="s">
        <v>305</v>
      </c>
      <c r="J18" s="279" t="s">
        <v>306</v>
      </c>
      <c r="K18" s="281" t="s">
        <v>221</v>
      </c>
      <c r="L18" s="278" t="s">
        <v>123</v>
      </c>
      <c r="M18" s="278" t="s">
        <v>222</v>
      </c>
      <c r="N18" s="278" t="s">
        <v>307</v>
      </c>
      <c r="O18" s="282" t="s">
        <v>223</v>
      </c>
      <c r="P18" s="283" t="s">
        <v>225</v>
      </c>
      <c r="Q18" s="440" t="s">
        <v>122</v>
      </c>
      <c r="R18" s="441" t="s">
        <v>214</v>
      </c>
      <c r="S18" s="442" t="s">
        <v>215</v>
      </c>
      <c r="T18" s="443" t="s">
        <v>128</v>
      </c>
      <c r="U18" s="278" t="s">
        <v>131</v>
      </c>
      <c r="V18" s="441" t="s">
        <v>308</v>
      </c>
      <c r="W18" s="442" t="s">
        <v>130</v>
      </c>
    </row>
    <row r="19" spans="1:23" ht="12.75" customHeight="1">
      <c r="B19" s="165" t="s">
        <v>67</v>
      </c>
      <c r="C19" s="146" t="s">
        <v>68</v>
      </c>
      <c r="D19" s="161" t="s">
        <v>21</v>
      </c>
      <c r="E19" s="358"/>
      <c r="F19" s="280"/>
      <c r="G19" s="280" t="s">
        <v>218</v>
      </c>
      <c r="H19" s="280" t="s">
        <v>219</v>
      </c>
      <c r="I19" s="280"/>
      <c r="J19" s="280" t="s">
        <v>220</v>
      </c>
      <c r="K19" s="280" t="s">
        <v>309</v>
      </c>
      <c r="L19" s="280"/>
      <c r="M19" s="280" t="s">
        <v>272</v>
      </c>
      <c r="N19" s="280" t="s">
        <v>273</v>
      </c>
      <c r="O19" s="280" t="s">
        <v>224</v>
      </c>
      <c r="P19" s="280" t="s">
        <v>226</v>
      </c>
      <c r="Q19" s="444" t="s">
        <v>274</v>
      </c>
      <c r="R19" s="235" t="s">
        <v>310</v>
      </c>
      <c r="S19" s="445" t="s">
        <v>310</v>
      </c>
      <c r="T19" s="446"/>
      <c r="U19" s="234"/>
      <c r="V19" s="447"/>
      <c r="W19" s="445"/>
    </row>
    <row r="20" spans="1:23" s="172" customFormat="1">
      <c r="A20" s="169"/>
      <c r="B20" s="170"/>
      <c r="C20" s="171"/>
      <c r="D20" s="173"/>
      <c r="E20" s="193">
        <f t="shared" ref="E20:W20" si="1">SUM(E21:E30)</f>
        <v>0</v>
      </c>
      <c r="F20" s="194">
        <f t="shared" si="1"/>
        <v>0</v>
      </c>
      <c r="G20" s="194">
        <f t="shared" si="1"/>
        <v>0</v>
      </c>
      <c r="H20" s="194">
        <f t="shared" si="1"/>
        <v>0</v>
      </c>
      <c r="I20" s="194">
        <f t="shared" si="1"/>
        <v>9.48</v>
      </c>
      <c r="J20" s="194">
        <f t="shared" si="1"/>
        <v>0</v>
      </c>
      <c r="K20" s="194">
        <f t="shared" si="1"/>
        <v>0</v>
      </c>
      <c r="L20" s="194">
        <f t="shared" si="1"/>
        <v>0</v>
      </c>
      <c r="M20" s="194">
        <f t="shared" si="1"/>
        <v>0</v>
      </c>
      <c r="N20" s="194">
        <f t="shared" si="1"/>
        <v>0</v>
      </c>
      <c r="O20" s="286">
        <f t="shared" si="1"/>
        <v>0</v>
      </c>
      <c r="P20" s="194">
        <f t="shared" si="1"/>
        <v>0</v>
      </c>
      <c r="Q20" s="448">
        <f t="shared" si="1"/>
        <v>0</v>
      </c>
      <c r="R20" s="194">
        <f t="shared" si="1"/>
        <v>0</v>
      </c>
      <c r="S20" s="195">
        <f t="shared" si="1"/>
        <v>0</v>
      </c>
      <c r="T20" s="449">
        <f t="shared" si="1"/>
        <v>0</v>
      </c>
      <c r="U20" s="194">
        <f t="shared" si="1"/>
        <v>0</v>
      </c>
      <c r="V20" s="448">
        <f t="shared" si="1"/>
        <v>0</v>
      </c>
      <c r="W20" s="195">
        <f t="shared" si="1"/>
        <v>0</v>
      </c>
    </row>
    <row r="21" spans="1:23" s="172" customFormat="1" ht="11.25" customHeight="1">
      <c r="B21" s="178"/>
      <c r="C21" s="179"/>
      <c r="D21" s="180"/>
      <c r="E21" s="199"/>
      <c r="F21" s="200"/>
      <c r="G21" s="200"/>
      <c r="H21" s="200"/>
      <c r="I21" s="200"/>
      <c r="J21" s="200"/>
      <c r="K21" s="200"/>
      <c r="L21" s="200"/>
      <c r="M21" s="200"/>
      <c r="N21" s="200"/>
      <c r="O21" s="284"/>
      <c r="P21" s="200"/>
      <c r="Q21" s="450"/>
      <c r="R21" s="200"/>
      <c r="S21" s="201"/>
      <c r="T21" s="451"/>
      <c r="U21" s="200"/>
      <c r="V21" s="450"/>
      <c r="W21" s="452"/>
    </row>
    <row r="22" spans="1:23" s="172" customFormat="1" ht="11.25" customHeight="1">
      <c r="B22" s="178" t="s">
        <v>3394</v>
      </c>
      <c r="C22" s="179"/>
      <c r="D22" s="180">
        <v>1.2</v>
      </c>
      <c r="E22" s="199"/>
      <c r="F22" s="200"/>
      <c r="G22" s="200"/>
      <c r="H22" s="200"/>
      <c r="I22" s="200">
        <f>D22*4</f>
        <v>4.8</v>
      </c>
      <c r="J22" s="200"/>
      <c r="K22" s="200"/>
      <c r="L22" s="200"/>
      <c r="M22" s="200"/>
      <c r="N22" s="200"/>
      <c r="O22" s="284"/>
      <c r="P22" s="200"/>
      <c r="Q22" s="450"/>
      <c r="R22" s="200"/>
      <c r="S22" s="201"/>
      <c r="T22" s="451"/>
      <c r="U22" s="200"/>
      <c r="V22" s="450"/>
      <c r="W22" s="452"/>
    </row>
    <row r="23" spans="1:23" s="172" customFormat="1" ht="11.25" customHeight="1">
      <c r="B23" s="178" t="s">
        <v>3396</v>
      </c>
      <c r="C23" s="179" t="s">
        <v>3398</v>
      </c>
      <c r="D23" s="180">
        <v>12</v>
      </c>
      <c r="E23" s="199"/>
      <c r="F23" s="200"/>
      <c r="G23" s="200"/>
      <c r="H23" s="200"/>
      <c r="I23" s="200">
        <f>D23*0.39</f>
        <v>4.68</v>
      </c>
      <c r="J23" s="200"/>
      <c r="K23" s="200"/>
      <c r="L23" s="200"/>
      <c r="M23" s="200"/>
      <c r="N23" s="200"/>
      <c r="O23" s="284"/>
      <c r="P23" s="200"/>
      <c r="Q23" s="450"/>
      <c r="R23" s="200"/>
      <c r="S23" s="201"/>
      <c r="T23" s="451"/>
      <c r="U23" s="200"/>
      <c r="V23" s="450"/>
      <c r="W23" s="452"/>
    </row>
    <row r="24" spans="1:23" s="172" customFormat="1" ht="11.25" customHeight="1">
      <c r="B24" s="178"/>
      <c r="C24" s="179"/>
      <c r="D24" s="180"/>
      <c r="E24" s="199"/>
      <c r="F24" s="200"/>
      <c r="G24" s="200"/>
      <c r="H24" s="200"/>
      <c r="I24" s="200"/>
      <c r="J24" s="200"/>
      <c r="K24" s="200"/>
      <c r="L24" s="200"/>
      <c r="M24" s="200"/>
      <c r="N24" s="200"/>
      <c r="O24" s="284"/>
      <c r="P24" s="200"/>
      <c r="Q24" s="450"/>
      <c r="R24" s="200"/>
      <c r="S24" s="201"/>
      <c r="T24" s="451"/>
      <c r="U24" s="200"/>
      <c r="V24" s="450"/>
      <c r="W24" s="452"/>
    </row>
    <row r="25" spans="1:23" s="172" customFormat="1" ht="11.25" customHeight="1">
      <c r="A25" s="159" t="s">
        <v>275</v>
      </c>
      <c r="B25" s="178"/>
      <c r="C25" s="179"/>
      <c r="D25" s="180"/>
      <c r="E25" s="199"/>
      <c r="F25" s="200"/>
      <c r="G25" s="200"/>
      <c r="H25" s="200"/>
      <c r="I25" s="200"/>
      <c r="J25" s="200"/>
      <c r="K25" s="200"/>
      <c r="L25" s="200"/>
      <c r="M25" s="200"/>
      <c r="N25" s="200"/>
      <c r="O25" s="284"/>
      <c r="P25" s="200"/>
      <c r="Q25" s="450"/>
      <c r="R25" s="200"/>
      <c r="S25" s="201"/>
      <c r="T25" s="451"/>
      <c r="U25" s="200">
        <f>$D25*O25</f>
        <v>0</v>
      </c>
      <c r="V25" s="450">
        <f>$D25*P25</f>
        <v>0</v>
      </c>
      <c r="W25" s="453"/>
    </row>
    <row r="26" spans="1:23">
      <c r="A26" s="81"/>
      <c r="B26" s="176"/>
      <c r="C26" s="177"/>
      <c r="D26" s="183"/>
      <c r="E26" s="202"/>
      <c r="F26" s="203"/>
      <c r="G26" s="203"/>
      <c r="H26" s="285"/>
      <c r="I26" s="285"/>
      <c r="J26" s="285"/>
      <c r="K26" s="285"/>
      <c r="L26" s="285"/>
      <c r="M26" s="285"/>
      <c r="N26" s="285"/>
      <c r="O26" s="285"/>
      <c r="P26" s="285"/>
      <c r="Q26" s="454"/>
      <c r="R26" s="203"/>
      <c r="S26" s="204"/>
      <c r="T26" s="455"/>
      <c r="U26" s="203">
        <f>$D26*O26</f>
        <v>0</v>
      </c>
      <c r="V26" s="456">
        <f>$D26*P26</f>
        <v>0</v>
      </c>
      <c r="W26" s="457"/>
    </row>
    <row r="27" spans="1:23">
      <c r="E27" s="81"/>
    </row>
  </sheetData>
  <mergeCells count="15">
    <mergeCell ref="X7:AA7"/>
    <mergeCell ref="E17:S17"/>
    <mergeCell ref="T17:W17"/>
    <mergeCell ref="G2:J2"/>
    <mergeCell ref="O2:R2"/>
    <mergeCell ref="G5:J5"/>
    <mergeCell ref="O5:R5"/>
    <mergeCell ref="G3:J3"/>
    <mergeCell ref="O3:R3"/>
    <mergeCell ref="G4:J4"/>
    <mergeCell ref="O4:R4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"/>
  <dimension ref="A1:AF13"/>
  <sheetViews>
    <sheetView workbookViewId="0">
      <pane xSplit="4" topLeftCell="E1" activePane="topRight" state="frozen"/>
      <selection activeCell="C51" sqref="C51"/>
      <selection pane="topRight"/>
    </sheetView>
  </sheetViews>
  <sheetFormatPr baseColWidth="10" defaultColWidth="9" defaultRowHeight="14"/>
  <cols>
    <col min="1" max="1" width="3.6640625" style="135" customWidth="1"/>
    <col min="2" max="2" width="4.83203125" style="135" customWidth="1"/>
    <col min="3" max="3" width="16.33203125" style="135" customWidth="1"/>
    <col min="4" max="4" width="16.6640625" style="135" customWidth="1"/>
    <col min="5" max="5" width="5.33203125" style="135" bestFit="1" customWidth="1"/>
    <col min="6" max="6" width="23.6640625" style="135" bestFit="1" customWidth="1"/>
    <col min="7" max="13" width="4.6640625" style="135" customWidth="1"/>
    <col min="14" max="32" width="5.6640625" style="135" customWidth="1"/>
    <col min="33" max="16384" width="9" style="135"/>
  </cols>
  <sheetData>
    <row r="1" spans="1:32">
      <c r="A1" s="135" t="s">
        <v>39</v>
      </c>
      <c r="B1" s="135" t="s">
        <v>30</v>
      </c>
      <c r="C1" s="135" t="s">
        <v>59</v>
      </c>
      <c r="D1" s="135" t="s">
        <v>31</v>
      </c>
      <c r="E1" s="135" t="s">
        <v>32</v>
      </c>
      <c r="F1" s="135" t="s">
        <v>38</v>
      </c>
      <c r="G1" s="135" t="s">
        <v>33</v>
      </c>
      <c r="H1" s="135" t="s">
        <v>34</v>
      </c>
      <c r="I1" s="135" t="s">
        <v>90</v>
      </c>
      <c r="J1" s="135" t="s">
        <v>91</v>
      </c>
      <c r="K1" s="135" t="s">
        <v>35</v>
      </c>
      <c r="L1" s="135" t="s">
        <v>36</v>
      </c>
      <c r="M1" s="135" t="s">
        <v>37</v>
      </c>
      <c r="N1" s="135" t="s">
        <v>139</v>
      </c>
      <c r="O1" s="135" t="s">
        <v>264</v>
      </c>
      <c r="P1" s="135" t="s">
        <v>210</v>
      </c>
      <c r="Q1" s="135" t="s">
        <v>228</v>
      </c>
      <c r="R1" s="135" t="s">
        <v>229</v>
      </c>
      <c r="S1" s="135" t="s">
        <v>122</v>
      </c>
      <c r="T1" s="135" t="s">
        <v>133</v>
      </c>
      <c r="U1" s="135" t="s">
        <v>124</v>
      </c>
      <c r="V1" s="135" t="s">
        <v>123</v>
      </c>
      <c r="W1" s="135" t="s">
        <v>230</v>
      </c>
      <c r="X1" s="135" t="s">
        <v>231</v>
      </c>
      <c r="Y1" s="135" t="s">
        <v>232</v>
      </c>
      <c r="Z1" s="135" t="s">
        <v>217</v>
      </c>
      <c r="AA1" s="135" t="s">
        <v>276</v>
      </c>
      <c r="AB1" s="135" t="s">
        <v>134</v>
      </c>
      <c r="AC1" s="135" t="s">
        <v>135</v>
      </c>
      <c r="AD1" s="135" t="s">
        <v>136</v>
      </c>
      <c r="AE1" s="135" t="s">
        <v>137</v>
      </c>
    </row>
    <row r="2" spans="1:32">
      <c r="A2" s="135">
        <v>3</v>
      </c>
      <c r="B2" s="135">
        <v>101</v>
      </c>
      <c r="C2" s="135" t="s">
        <v>109</v>
      </c>
      <c r="D2" s="135" t="s">
        <v>92</v>
      </c>
      <c r="E2" s="135" t="s">
        <v>93</v>
      </c>
      <c r="N2" s="135">
        <v>1000</v>
      </c>
    </row>
    <row r="3" spans="1:32">
      <c r="A3" s="135">
        <v>3</v>
      </c>
      <c r="B3" s="135">
        <v>102</v>
      </c>
      <c r="C3" s="135" t="s">
        <v>109</v>
      </c>
      <c r="D3" s="135" t="s">
        <v>72</v>
      </c>
      <c r="E3" s="135" t="s">
        <v>93</v>
      </c>
      <c r="N3" s="135">
        <v>1000</v>
      </c>
    </row>
    <row r="4" spans="1:32">
      <c r="A4" s="135">
        <v>3</v>
      </c>
      <c r="B4" s="135">
        <v>103</v>
      </c>
      <c r="C4" s="135" t="s">
        <v>109</v>
      </c>
      <c r="D4" s="135" t="s">
        <v>73</v>
      </c>
      <c r="E4" s="135" t="s">
        <v>93</v>
      </c>
      <c r="N4" s="135">
        <v>1000</v>
      </c>
    </row>
    <row r="5" spans="1:32">
      <c r="A5" s="135">
        <v>3</v>
      </c>
      <c r="B5" s="135">
        <v>104</v>
      </c>
      <c r="C5" s="135" t="s">
        <v>110</v>
      </c>
      <c r="D5" s="135" t="s">
        <v>74</v>
      </c>
      <c r="E5" s="135" t="s">
        <v>93</v>
      </c>
      <c r="N5" s="135">
        <v>1000</v>
      </c>
    </row>
    <row r="6" spans="1:32">
      <c r="A6" s="135">
        <v>3</v>
      </c>
      <c r="B6" s="135">
        <v>105</v>
      </c>
      <c r="C6" s="135" t="s">
        <v>110</v>
      </c>
      <c r="D6" s="135" t="s">
        <v>75</v>
      </c>
      <c r="E6" s="135" t="s">
        <v>93</v>
      </c>
      <c r="N6" s="135">
        <v>1000</v>
      </c>
    </row>
    <row r="7" spans="1:32">
      <c r="A7" s="135">
        <v>4</v>
      </c>
      <c r="B7" s="135">
        <v>106</v>
      </c>
      <c r="C7" s="135" t="s">
        <v>76</v>
      </c>
      <c r="D7" s="135" t="s">
        <v>77</v>
      </c>
      <c r="E7" s="135" t="s">
        <v>60</v>
      </c>
      <c r="N7" s="135">
        <v>0</v>
      </c>
    </row>
    <row r="8" spans="1:32">
      <c r="A8" s="135">
        <v>4</v>
      </c>
      <c r="B8" s="135">
        <v>107</v>
      </c>
      <c r="C8" s="135" t="s">
        <v>76</v>
      </c>
      <c r="D8" s="135" t="s">
        <v>78</v>
      </c>
      <c r="E8" s="135" t="s">
        <v>60</v>
      </c>
      <c r="N8" s="135">
        <v>0</v>
      </c>
    </row>
    <row r="9" spans="1:32">
      <c r="A9" s="135">
        <v>4</v>
      </c>
      <c r="B9" s="135">
        <v>109</v>
      </c>
      <c r="C9" s="135" t="s">
        <v>76</v>
      </c>
      <c r="D9" s="135" t="s">
        <v>106</v>
      </c>
      <c r="E9" s="135" t="s">
        <v>60</v>
      </c>
      <c r="N9" s="135">
        <v>0</v>
      </c>
    </row>
    <row r="10" spans="1:32">
      <c r="A10" s="135">
        <v>3</v>
      </c>
      <c r="B10" s="135">
        <v>110</v>
      </c>
      <c r="C10" s="135" t="s">
        <v>76</v>
      </c>
      <c r="D10" s="135" t="s">
        <v>185</v>
      </c>
      <c r="E10" s="135" t="s">
        <v>60</v>
      </c>
      <c r="N10" s="135">
        <v>0</v>
      </c>
    </row>
    <row r="11" spans="1:32">
      <c r="A11" s="135">
        <v>4</v>
      </c>
      <c r="B11" s="135">
        <v>108</v>
      </c>
      <c r="C11" s="135" t="s">
        <v>76</v>
      </c>
      <c r="D11" s="135" t="s">
        <v>84</v>
      </c>
      <c r="E11" s="135" t="s">
        <v>60</v>
      </c>
      <c r="N11" s="135">
        <v>0</v>
      </c>
    </row>
    <row r="12" spans="1:32">
      <c r="A12" s="135">
        <v>99</v>
      </c>
      <c r="B12" s="135">
        <v>1</v>
      </c>
      <c r="C12" s="135" t="str">
        <f>代価!$D$5</f>
        <v>未記入</v>
      </c>
      <c r="D12" s="135" t="str">
        <f>代価!$E$5</f>
        <v>未記入</v>
      </c>
      <c r="E12" s="135" t="str">
        <f>代価!$G$5</f>
        <v>未記入</v>
      </c>
      <c r="F12" s="135">
        <f>代価!$J$5</f>
        <v>0</v>
      </c>
      <c r="H12" s="135">
        <f>代価!$I24</f>
        <v>0</v>
      </c>
      <c r="I12" s="135" t="s">
        <v>186</v>
      </c>
      <c r="J12" s="135" t="s">
        <v>186</v>
      </c>
      <c r="K12" s="135" t="s">
        <v>186</v>
      </c>
      <c r="L12" s="135" t="s">
        <v>186</v>
      </c>
      <c r="M12" s="135" t="s">
        <v>186</v>
      </c>
      <c r="N12" s="135">
        <f>代価!$O$24</f>
        <v>0</v>
      </c>
      <c r="O12" s="135">
        <f>代価!$P$24</f>
        <v>0</v>
      </c>
      <c r="P12" s="135">
        <f>代価!$Q$24</f>
        <v>0</v>
      </c>
      <c r="Q12" s="135">
        <f>代価!$R$24</f>
        <v>0</v>
      </c>
      <c r="R12" s="135">
        <f>代価!$S$24</f>
        <v>0</v>
      </c>
      <c r="S12" s="135">
        <f>代価!$T$24</f>
        <v>0</v>
      </c>
      <c r="T12" s="135">
        <f>代価!$U$24</f>
        <v>0</v>
      </c>
      <c r="U12" s="135">
        <f>代価!$V$24</f>
        <v>0</v>
      </c>
      <c r="V12" s="135">
        <f>代価!$W$24</f>
        <v>0</v>
      </c>
      <c r="W12" s="135">
        <f>代価!$X$24</f>
        <v>0</v>
      </c>
      <c r="X12" s="135">
        <f>代価!$Y$24</f>
        <v>0</v>
      </c>
      <c r="Y12" s="135">
        <f>代価!$Z$24</f>
        <v>0</v>
      </c>
      <c r="Z12" s="135">
        <f>代価!$AA$24</f>
        <v>0</v>
      </c>
      <c r="AA12" s="135">
        <f>代価!$AB$24</f>
        <v>0</v>
      </c>
      <c r="AB12" s="135">
        <f>代価!$AC$24</f>
        <v>0</v>
      </c>
      <c r="AC12" s="135">
        <f>代価!$AD$24</f>
        <v>0</v>
      </c>
      <c r="AD12" s="135">
        <f>代価!$AE$24</f>
        <v>0</v>
      </c>
      <c r="AE12" s="135">
        <f>代価!$AF$24</f>
        <v>0</v>
      </c>
      <c r="AF12" s="135">
        <f>代価!$AG$24</f>
        <v>0</v>
      </c>
    </row>
    <row r="13" spans="1:32">
      <c r="A13" s="135">
        <v>99</v>
      </c>
      <c r="B13" s="135">
        <v>2</v>
      </c>
      <c r="C13" s="135" t="str">
        <f>代価!$D$28</f>
        <v>会所４００角</v>
      </c>
      <c r="D13" s="135" t="str">
        <f>代価!$E$28</f>
        <v xml:space="preserve"> H=1200 根切共</v>
      </c>
      <c r="E13" s="135" t="str">
        <f>代価!$G$28</f>
        <v>ヵ所</v>
      </c>
      <c r="F13" s="135">
        <f>代価!$J$28</f>
        <v>0</v>
      </c>
      <c r="H13" s="135">
        <f>代価!$I47</f>
        <v>0</v>
      </c>
      <c r="I13" s="135" t="s">
        <v>186</v>
      </c>
      <c r="J13" s="135" t="s">
        <v>186</v>
      </c>
      <c r="K13" s="135" t="s">
        <v>186</v>
      </c>
      <c r="L13" s="135" t="s">
        <v>186</v>
      </c>
      <c r="M13" s="135" t="s">
        <v>186</v>
      </c>
      <c r="N13" s="135">
        <f>代価!$O$47</f>
        <v>477.2</v>
      </c>
      <c r="O13" s="135">
        <f>代価!$P$47</f>
        <v>0</v>
      </c>
      <c r="P13" s="135">
        <f>代価!$Q$47</f>
        <v>0</v>
      </c>
      <c r="Q13" s="135">
        <f>代価!$R$47</f>
        <v>0</v>
      </c>
      <c r="R13" s="135">
        <f>代価!$S$47</f>
        <v>0</v>
      </c>
      <c r="S13" s="135">
        <f>代価!$T$47</f>
        <v>0</v>
      </c>
      <c r="T13" s="135">
        <f>代価!$U$47</f>
        <v>0</v>
      </c>
      <c r="U13" s="135">
        <f>代価!$V$47</f>
        <v>0</v>
      </c>
      <c r="V13" s="135">
        <f>代価!$W$47</f>
        <v>0</v>
      </c>
      <c r="W13" s="135">
        <f>代価!$X$47</f>
        <v>0</v>
      </c>
      <c r="X13" s="135">
        <f>代価!$Y$47</f>
        <v>0</v>
      </c>
      <c r="Y13" s="135">
        <f>代価!$Z$47</f>
        <v>0</v>
      </c>
      <c r="Z13" s="135">
        <f>代価!$AA$47</f>
        <v>0</v>
      </c>
      <c r="AA13" s="135">
        <f>代価!$AB$47</f>
        <v>0</v>
      </c>
      <c r="AB13" s="135">
        <f>代価!$AC$47</f>
        <v>0</v>
      </c>
      <c r="AC13" s="135">
        <f>代価!$AD$47</f>
        <v>0</v>
      </c>
      <c r="AD13" s="135">
        <f>代価!$AE$47</f>
        <v>0</v>
      </c>
      <c r="AE13" s="135">
        <f>代価!$AF$47</f>
        <v>0</v>
      </c>
      <c r="AF13" s="135">
        <f>代価!$AG$47</f>
        <v>0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L352"/>
  <sheetViews>
    <sheetView view="pageBreakPreview" topLeftCell="A37" zoomScaleNormal="100" zoomScaleSheetLayoutView="100" workbookViewId="0">
      <selection activeCell="F58" sqref="F58"/>
    </sheetView>
  </sheetViews>
  <sheetFormatPr baseColWidth="10" defaultColWidth="9" defaultRowHeight="14"/>
  <cols>
    <col min="1" max="1" width="2.5" style="839" customWidth="1"/>
    <col min="2" max="2" width="3.5" style="839" customWidth="1"/>
    <col min="3" max="3" width="23.33203125" style="839" customWidth="1"/>
    <col min="4" max="4" width="4.5" style="839" customWidth="1"/>
    <col min="5" max="5" width="5.6640625" style="839" customWidth="1"/>
    <col min="6" max="6" width="15.33203125" style="839" customWidth="1"/>
    <col min="7" max="12" width="15.1640625" style="1704" customWidth="1"/>
    <col min="257" max="257" width="2.5" customWidth="1"/>
    <col min="258" max="258" width="3.5" customWidth="1"/>
    <col min="259" max="259" width="23.33203125" customWidth="1"/>
    <col min="260" max="260" width="4.5" customWidth="1"/>
    <col min="261" max="261" width="5.6640625" customWidth="1"/>
    <col min="262" max="262" width="15.33203125" customWidth="1"/>
    <col min="263" max="268" width="15.1640625" customWidth="1"/>
    <col min="513" max="513" width="2.5" customWidth="1"/>
    <col min="514" max="514" width="3.5" customWidth="1"/>
    <col min="515" max="515" width="23.33203125" customWidth="1"/>
    <col min="516" max="516" width="4.5" customWidth="1"/>
    <col min="517" max="517" width="5.6640625" customWidth="1"/>
    <col min="518" max="518" width="15.33203125" customWidth="1"/>
    <col min="519" max="524" width="15.1640625" customWidth="1"/>
    <col min="769" max="769" width="2.5" customWidth="1"/>
    <col min="770" max="770" width="3.5" customWidth="1"/>
    <col min="771" max="771" width="23.33203125" customWidth="1"/>
    <col min="772" max="772" width="4.5" customWidth="1"/>
    <col min="773" max="773" width="5.6640625" customWidth="1"/>
    <col min="774" max="774" width="15.33203125" customWidth="1"/>
    <col min="775" max="780" width="15.1640625" customWidth="1"/>
    <col min="1025" max="1025" width="2.5" customWidth="1"/>
    <col min="1026" max="1026" width="3.5" customWidth="1"/>
    <col min="1027" max="1027" width="23.33203125" customWidth="1"/>
    <col min="1028" max="1028" width="4.5" customWidth="1"/>
    <col min="1029" max="1029" width="5.6640625" customWidth="1"/>
    <col min="1030" max="1030" width="15.33203125" customWidth="1"/>
    <col min="1031" max="1036" width="15.1640625" customWidth="1"/>
    <col min="1281" max="1281" width="2.5" customWidth="1"/>
    <col min="1282" max="1282" width="3.5" customWidth="1"/>
    <col min="1283" max="1283" width="23.33203125" customWidth="1"/>
    <col min="1284" max="1284" width="4.5" customWidth="1"/>
    <col min="1285" max="1285" width="5.6640625" customWidth="1"/>
    <col min="1286" max="1286" width="15.33203125" customWidth="1"/>
    <col min="1287" max="1292" width="15.1640625" customWidth="1"/>
    <col min="1537" max="1537" width="2.5" customWidth="1"/>
    <col min="1538" max="1538" width="3.5" customWidth="1"/>
    <col min="1539" max="1539" width="23.33203125" customWidth="1"/>
    <col min="1540" max="1540" width="4.5" customWidth="1"/>
    <col min="1541" max="1541" width="5.6640625" customWidth="1"/>
    <col min="1542" max="1542" width="15.33203125" customWidth="1"/>
    <col min="1543" max="1548" width="15.1640625" customWidth="1"/>
    <col min="1793" max="1793" width="2.5" customWidth="1"/>
    <col min="1794" max="1794" width="3.5" customWidth="1"/>
    <col min="1795" max="1795" width="23.33203125" customWidth="1"/>
    <col min="1796" max="1796" width="4.5" customWidth="1"/>
    <col min="1797" max="1797" width="5.6640625" customWidth="1"/>
    <col min="1798" max="1798" width="15.33203125" customWidth="1"/>
    <col min="1799" max="1804" width="15.1640625" customWidth="1"/>
    <col min="2049" max="2049" width="2.5" customWidth="1"/>
    <col min="2050" max="2050" width="3.5" customWidth="1"/>
    <col min="2051" max="2051" width="23.33203125" customWidth="1"/>
    <col min="2052" max="2052" width="4.5" customWidth="1"/>
    <col min="2053" max="2053" width="5.6640625" customWidth="1"/>
    <col min="2054" max="2054" width="15.33203125" customWidth="1"/>
    <col min="2055" max="2060" width="15.1640625" customWidth="1"/>
    <col min="2305" max="2305" width="2.5" customWidth="1"/>
    <col min="2306" max="2306" width="3.5" customWidth="1"/>
    <col min="2307" max="2307" width="23.33203125" customWidth="1"/>
    <col min="2308" max="2308" width="4.5" customWidth="1"/>
    <col min="2309" max="2309" width="5.6640625" customWidth="1"/>
    <col min="2310" max="2310" width="15.33203125" customWidth="1"/>
    <col min="2311" max="2316" width="15.1640625" customWidth="1"/>
    <col min="2561" max="2561" width="2.5" customWidth="1"/>
    <col min="2562" max="2562" width="3.5" customWidth="1"/>
    <col min="2563" max="2563" width="23.33203125" customWidth="1"/>
    <col min="2564" max="2564" width="4.5" customWidth="1"/>
    <col min="2565" max="2565" width="5.6640625" customWidth="1"/>
    <col min="2566" max="2566" width="15.33203125" customWidth="1"/>
    <col min="2567" max="2572" width="15.1640625" customWidth="1"/>
    <col min="2817" max="2817" width="2.5" customWidth="1"/>
    <col min="2818" max="2818" width="3.5" customWidth="1"/>
    <col min="2819" max="2819" width="23.33203125" customWidth="1"/>
    <col min="2820" max="2820" width="4.5" customWidth="1"/>
    <col min="2821" max="2821" width="5.6640625" customWidth="1"/>
    <col min="2822" max="2822" width="15.33203125" customWidth="1"/>
    <col min="2823" max="2828" width="15.1640625" customWidth="1"/>
    <col min="3073" max="3073" width="2.5" customWidth="1"/>
    <col min="3074" max="3074" width="3.5" customWidth="1"/>
    <col min="3075" max="3075" width="23.33203125" customWidth="1"/>
    <col min="3076" max="3076" width="4.5" customWidth="1"/>
    <col min="3077" max="3077" width="5.6640625" customWidth="1"/>
    <col min="3078" max="3078" width="15.33203125" customWidth="1"/>
    <col min="3079" max="3084" width="15.1640625" customWidth="1"/>
    <col min="3329" max="3329" width="2.5" customWidth="1"/>
    <col min="3330" max="3330" width="3.5" customWidth="1"/>
    <col min="3331" max="3331" width="23.33203125" customWidth="1"/>
    <col min="3332" max="3332" width="4.5" customWidth="1"/>
    <col min="3333" max="3333" width="5.6640625" customWidth="1"/>
    <col min="3334" max="3334" width="15.33203125" customWidth="1"/>
    <col min="3335" max="3340" width="15.1640625" customWidth="1"/>
    <col min="3585" max="3585" width="2.5" customWidth="1"/>
    <col min="3586" max="3586" width="3.5" customWidth="1"/>
    <col min="3587" max="3587" width="23.33203125" customWidth="1"/>
    <col min="3588" max="3588" width="4.5" customWidth="1"/>
    <col min="3589" max="3589" width="5.6640625" customWidth="1"/>
    <col min="3590" max="3590" width="15.33203125" customWidth="1"/>
    <col min="3591" max="3596" width="15.1640625" customWidth="1"/>
    <col min="3841" max="3841" width="2.5" customWidth="1"/>
    <col min="3842" max="3842" width="3.5" customWidth="1"/>
    <col min="3843" max="3843" width="23.33203125" customWidth="1"/>
    <col min="3844" max="3844" width="4.5" customWidth="1"/>
    <col min="3845" max="3845" width="5.6640625" customWidth="1"/>
    <col min="3846" max="3846" width="15.33203125" customWidth="1"/>
    <col min="3847" max="3852" width="15.1640625" customWidth="1"/>
    <col min="4097" max="4097" width="2.5" customWidth="1"/>
    <col min="4098" max="4098" width="3.5" customWidth="1"/>
    <col min="4099" max="4099" width="23.33203125" customWidth="1"/>
    <col min="4100" max="4100" width="4.5" customWidth="1"/>
    <col min="4101" max="4101" width="5.6640625" customWidth="1"/>
    <col min="4102" max="4102" width="15.33203125" customWidth="1"/>
    <col min="4103" max="4108" width="15.1640625" customWidth="1"/>
    <col min="4353" max="4353" width="2.5" customWidth="1"/>
    <col min="4354" max="4354" width="3.5" customWidth="1"/>
    <col min="4355" max="4355" width="23.33203125" customWidth="1"/>
    <col min="4356" max="4356" width="4.5" customWidth="1"/>
    <col min="4357" max="4357" width="5.6640625" customWidth="1"/>
    <col min="4358" max="4358" width="15.33203125" customWidth="1"/>
    <col min="4359" max="4364" width="15.1640625" customWidth="1"/>
    <col min="4609" max="4609" width="2.5" customWidth="1"/>
    <col min="4610" max="4610" width="3.5" customWidth="1"/>
    <col min="4611" max="4611" width="23.33203125" customWidth="1"/>
    <col min="4612" max="4612" width="4.5" customWidth="1"/>
    <col min="4613" max="4613" width="5.6640625" customWidth="1"/>
    <col min="4614" max="4614" width="15.33203125" customWidth="1"/>
    <col min="4615" max="4620" width="15.1640625" customWidth="1"/>
    <col min="4865" max="4865" width="2.5" customWidth="1"/>
    <col min="4866" max="4866" width="3.5" customWidth="1"/>
    <col min="4867" max="4867" width="23.33203125" customWidth="1"/>
    <col min="4868" max="4868" width="4.5" customWidth="1"/>
    <col min="4869" max="4869" width="5.6640625" customWidth="1"/>
    <col min="4870" max="4870" width="15.33203125" customWidth="1"/>
    <col min="4871" max="4876" width="15.1640625" customWidth="1"/>
    <col min="5121" max="5121" width="2.5" customWidth="1"/>
    <col min="5122" max="5122" width="3.5" customWidth="1"/>
    <col min="5123" max="5123" width="23.33203125" customWidth="1"/>
    <col min="5124" max="5124" width="4.5" customWidth="1"/>
    <col min="5125" max="5125" width="5.6640625" customWidth="1"/>
    <col min="5126" max="5126" width="15.33203125" customWidth="1"/>
    <col min="5127" max="5132" width="15.1640625" customWidth="1"/>
    <col min="5377" max="5377" width="2.5" customWidth="1"/>
    <col min="5378" max="5378" width="3.5" customWidth="1"/>
    <col min="5379" max="5379" width="23.33203125" customWidth="1"/>
    <col min="5380" max="5380" width="4.5" customWidth="1"/>
    <col min="5381" max="5381" width="5.6640625" customWidth="1"/>
    <col min="5382" max="5382" width="15.33203125" customWidth="1"/>
    <col min="5383" max="5388" width="15.1640625" customWidth="1"/>
    <col min="5633" max="5633" width="2.5" customWidth="1"/>
    <col min="5634" max="5634" width="3.5" customWidth="1"/>
    <col min="5635" max="5635" width="23.33203125" customWidth="1"/>
    <col min="5636" max="5636" width="4.5" customWidth="1"/>
    <col min="5637" max="5637" width="5.6640625" customWidth="1"/>
    <col min="5638" max="5638" width="15.33203125" customWidth="1"/>
    <col min="5639" max="5644" width="15.1640625" customWidth="1"/>
    <col min="5889" max="5889" width="2.5" customWidth="1"/>
    <col min="5890" max="5890" width="3.5" customWidth="1"/>
    <col min="5891" max="5891" width="23.33203125" customWidth="1"/>
    <col min="5892" max="5892" width="4.5" customWidth="1"/>
    <col min="5893" max="5893" width="5.6640625" customWidth="1"/>
    <col min="5894" max="5894" width="15.33203125" customWidth="1"/>
    <col min="5895" max="5900" width="15.1640625" customWidth="1"/>
    <col min="6145" max="6145" width="2.5" customWidth="1"/>
    <col min="6146" max="6146" width="3.5" customWidth="1"/>
    <col min="6147" max="6147" width="23.33203125" customWidth="1"/>
    <col min="6148" max="6148" width="4.5" customWidth="1"/>
    <col min="6149" max="6149" width="5.6640625" customWidth="1"/>
    <col min="6150" max="6150" width="15.33203125" customWidth="1"/>
    <col min="6151" max="6156" width="15.1640625" customWidth="1"/>
    <col min="6401" max="6401" width="2.5" customWidth="1"/>
    <col min="6402" max="6402" width="3.5" customWidth="1"/>
    <col min="6403" max="6403" width="23.33203125" customWidth="1"/>
    <col min="6404" max="6404" width="4.5" customWidth="1"/>
    <col min="6405" max="6405" width="5.6640625" customWidth="1"/>
    <col min="6406" max="6406" width="15.33203125" customWidth="1"/>
    <col min="6407" max="6412" width="15.1640625" customWidth="1"/>
    <col min="6657" max="6657" width="2.5" customWidth="1"/>
    <col min="6658" max="6658" width="3.5" customWidth="1"/>
    <col min="6659" max="6659" width="23.33203125" customWidth="1"/>
    <col min="6660" max="6660" width="4.5" customWidth="1"/>
    <col min="6661" max="6661" width="5.6640625" customWidth="1"/>
    <col min="6662" max="6662" width="15.33203125" customWidth="1"/>
    <col min="6663" max="6668" width="15.1640625" customWidth="1"/>
    <col min="6913" max="6913" width="2.5" customWidth="1"/>
    <col min="6914" max="6914" width="3.5" customWidth="1"/>
    <col min="6915" max="6915" width="23.33203125" customWidth="1"/>
    <col min="6916" max="6916" width="4.5" customWidth="1"/>
    <col min="6917" max="6917" width="5.6640625" customWidth="1"/>
    <col min="6918" max="6918" width="15.33203125" customWidth="1"/>
    <col min="6919" max="6924" width="15.1640625" customWidth="1"/>
    <col min="7169" max="7169" width="2.5" customWidth="1"/>
    <col min="7170" max="7170" width="3.5" customWidth="1"/>
    <col min="7171" max="7171" width="23.33203125" customWidth="1"/>
    <col min="7172" max="7172" width="4.5" customWidth="1"/>
    <col min="7173" max="7173" width="5.6640625" customWidth="1"/>
    <col min="7174" max="7174" width="15.33203125" customWidth="1"/>
    <col min="7175" max="7180" width="15.1640625" customWidth="1"/>
    <col min="7425" max="7425" width="2.5" customWidth="1"/>
    <col min="7426" max="7426" width="3.5" customWidth="1"/>
    <col min="7427" max="7427" width="23.33203125" customWidth="1"/>
    <col min="7428" max="7428" width="4.5" customWidth="1"/>
    <col min="7429" max="7429" width="5.6640625" customWidth="1"/>
    <col min="7430" max="7430" width="15.33203125" customWidth="1"/>
    <col min="7431" max="7436" width="15.1640625" customWidth="1"/>
    <col min="7681" max="7681" width="2.5" customWidth="1"/>
    <col min="7682" max="7682" width="3.5" customWidth="1"/>
    <col min="7683" max="7683" width="23.33203125" customWidth="1"/>
    <col min="7684" max="7684" width="4.5" customWidth="1"/>
    <col min="7685" max="7685" width="5.6640625" customWidth="1"/>
    <col min="7686" max="7686" width="15.33203125" customWidth="1"/>
    <col min="7687" max="7692" width="15.1640625" customWidth="1"/>
    <col min="7937" max="7937" width="2.5" customWidth="1"/>
    <col min="7938" max="7938" width="3.5" customWidth="1"/>
    <col min="7939" max="7939" width="23.33203125" customWidth="1"/>
    <col min="7940" max="7940" width="4.5" customWidth="1"/>
    <col min="7941" max="7941" width="5.6640625" customWidth="1"/>
    <col min="7942" max="7942" width="15.33203125" customWidth="1"/>
    <col min="7943" max="7948" width="15.1640625" customWidth="1"/>
    <col min="8193" max="8193" width="2.5" customWidth="1"/>
    <col min="8194" max="8194" width="3.5" customWidth="1"/>
    <col min="8195" max="8195" width="23.33203125" customWidth="1"/>
    <col min="8196" max="8196" width="4.5" customWidth="1"/>
    <col min="8197" max="8197" width="5.6640625" customWidth="1"/>
    <col min="8198" max="8198" width="15.33203125" customWidth="1"/>
    <col min="8199" max="8204" width="15.1640625" customWidth="1"/>
    <col min="8449" max="8449" width="2.5" customWidth="1"/>
    <col min="8450" max="8450" width="3.5" customWidth="1"/>
    <col min="8451" max="8451" width="23.33203125" customWidth="1"/>
    <col min="8452" max="8452" width="4.5" customWidth="1"/>
    <col min="8453" max="8453" width="5.6640625" customWidth="1"/>
    <col min="8454" max="8454" width="15.33203125" customWidth="1"/>
    <col min="8455" max="8460" width="15.1640625" customWidth="1"/>
    <col min="8705" max="8705" width="2.5" customWidth="1"/>
    <col min="8706" max="8706" width="3.5" customWidth="1"/>
    <col min="8707" max="8707" width="23.33203125" customWidth="1"/>
    <col min="8708" max="8708" width="4.5" customWidth="1"/>
    <col min="8709" max="8709" width="5.6640625" customWidth="1"/>
    <col min="8710" max="8710" width="15.33203125" customWidth="1"/>
    <col min="8711" max="8716" width="15.1640625" customWidth="1"/>
    <col min="8961" max="8961" width="2.5" customWidth="1"/>
    <col min="8962" max="8962" width="3.5" customWidth="1"/>
    <col min="8963" max="8963" width="23.33203125" customWidth="1"/>
    <col min="8964" max="8964" width="4.5" customWidth="1"/>
    <col min="8965" max="8965" width="5.6640625" customWidth="1"/>
    <col min="8966" max="8966" width="15.33203125" customWidth="1"/>
    <col min="8967" max="8972" width="15.1640625" customWidth="1"/>
    <col min="9217" max="9217" width="2.5" customWidth="1"/>
    <col min="9218" max="9218" width="3.5" customWidth="1"/>
    <col min="9219" max="9219" width="23.33203125" customWidth="1"/>
    <col min="9220" max="9220" width="4.5" customWidth="1"/>
    <col min="9221" max="9221" width="5.6640625" customWidth="1"/>
    <col min="9222" max="9222" width="15.33203125" customWidth="1"/>
    <col min="9223" max="9228" width="15.1640625" customWidth="1"/>
    <col min="9473" max="9473" width="2.5" customWidth="1"/>
    <col min="9474" max="9474" width="3.5" customWidth="1"/>
    <col min="9475" max="9475" width="23.33203125" customWidth="1"/>
    <col min="9476" max="9476" width="4.5" customWidth="1"/>
    <col min="9477" max="9477" width="5.6640625" customWidth="1"/>
    <col min="9478" max="9478" width="15.33203125" customWidth="1"/>
    <col min="9479" max="9484" width="15.1640625" customWidth="1"/>
    <col min="9729" max="9729" width="2.5" customWidth="1"/>
    <col min="9730" max="9730" width="3.5" customWidth="1"/>
    <col min="9731" max="9731" width="23.33203125" customWidth="1"/>
    <col min="9732" max="9732" width="4.5" customWidth="1"/>
    <col min="9733" max="9733" width="5.6640625" customWidth="1"/>
    <col min="9734" max="9734" width="15.33203125" customWidth="1"/>
    <col min="9735" max="9740" width="15.1640625" customWidth="1"/>
    <col min="9985" max="9985" width="2.5" customWidth="1"/>
    <col min="9986" max="9986" width="3.5" customWidth="1"/>
    <col min="9987" max="9987" width="23.33203125" customWidth="1"/>
    <col min="9988" max="9988" width="4.5" customWidth="1"/>
    <col min="9989" max="9989" width="5.6640625" customWidth="1"/>
    <col min="9990" max="9990" width="15.33203125" customWidth="1"/>
    <col min="9991" max="9996" width="15.1640625" customWidth="1"/>
    <col min="10241" max="10241" width="2.5" customWidth="1"/>
    <col min="10242" max="10242" width="3.5" customWidth="1"/>
    <col min="10243" max="10243" width="23.33203125" customWidth="1"/>
    <col min="10244" max="10244" width="4.5" customWidth="1"/>
    <col min="10245" max="10245" width="5.6640625" customWidth="1"/>
    <col min="10246" max="10246" width="15.33203125" customWidth="1"/>
    <col min="10247" max="10252" width="15.1640625" customWidth="1"/>
    <col min="10497" max="10497" width="2.5" customWidth="1"/>
    <col min="10498" max="10498" width="3.5" customWidth="1"/>
    <col min="10499" max="10499" width="23.33203125" customWidth="1"/>
    <col min="10500" max="10500" width="4.5" customWidth="1"/>
    <col min="10501" max="10501" width="5.6640625" customWidth="1"/>
    <col min="10502" max="10502" width="15.33203125" customWidth="1"/>
    <col min="10503" max="10508" width="15.1640625" customWidth="1"/>
    <col min="10753" max="10753" width="2.5" customWidth="1"/>
    <col min="10754" max="10754" width="3.5" customWidth="1"/>
    <col min="10755" max="10755" width="23.33203125" customWidth="1"/>
    <col min="10756" max="10756" width="4.5" customWidth="1"/>
    <col min="10757" max="10757" width="5.6640625" customWidth="1"/>
    <col min="10758" max="10758" width="15.33203125" customWidth="1"/>
    <col min="10759" max="10764" width="15.1640625" customWidth="1"/>
    <col min="11009" max="11009" width="2.5" customWidth="1"/>
    <col min="11010" max="11010" width="3.5" customWidth="1"/>
    <col min="11011" max="11011" width="23.33203125" customWidth="1"/>
    <col min="11012" max="11012" width="4.5" customWidth="1"/>
    <col min="11013" max="11013" width="5.6640625" customWidth="1"/>
    <col min="11014" max="11014" width="15.33203125" customWidth="1"/>
    <col min="11015" max="11020" width="15.1640625" customWidth="1"/>
    <col min="11265" max="11265" width="2.5" customWidth="1"/>
    <col min="11266" max="11266" width="3.5" customWidth="1"/>
    <col min="11267" max="11267" width="23.33203125" customWidth="1"/>
    <col min="11268" max="11268" width="4.5" customWidth="1"/>
    <col min="11269" max="11269" width="5.6640625" customWidth="1"/>
    <col min="11270" max="11270" width="15.33203125" customWidth="1"/>
    <col min="11271" max="11276" width="15.1640625" customWidth="1"/>
    <col min="11521" max="11521" width="2.5" customWidth="1"/>
    <col min="11522" max="11522" width="3.5" customWidth="1"/>
    <col min="11523" max="11523" width="23.33203125" customWidth="1"/>
    <col min="11524" max="11524" width="4.5" customWidth="1"/>
    <col min="11525" max="11525" width="5.6640625" customWidth="1"/>
    <col min="11526" max="11526" width="15.33203125" customWidth="1"/>
    <col min="11527" max="11532" width="15.1640625" customWidth="1"/>
    <col min="11777" max="11777" width="2.5" customWidth="1"/>
    <col min="11778" max="11778" width="3.5" customWidth="1"/>
    <col min="11779" max="11779" width="23.33203125" customWidth="1"/>
    <col min="11780" max="11780" width="4.5" customWidth="1"/>
    <col min="11781" max="11781" width="5.6640625" customWidth="1"/>
    <col min="11782" max="11782" width="15.33203125" customWidth="1"/>
    <col min="11783" max="11788" width="15.1640625" customWidth="1"/>
    <col min="12033" max="12033" width="2.5" customWidth="1"/>
    <col min="12034" max="12034" width="3.5" customWidth="1"/>
    <col min="12035" max="12035" width="23.33203125" customWidth="1"/>
    <col min="12036" max="12036" width="4.5" customWidth="1"/>
    <col min="12037" max="12037" width="5.6640625" customWidth="1"/>
    <col min="12038" max="12038" width="15.33203125" customWidth="1"/>
    <col min="12039" max="12044" width="15.1640625" customWidth="1"/>
    <col min="12289" max="12289" width="2.5" customWidth="1"/>
    <col min="12290" max="12290" width="3.5" customWidth="1"/>
    <col min="12291" max="12291" width="23.33203125" customWidth="1"/>
    <col min="12292" max="12292" width="4.5" customWidth="1"/>
    <col min="12293" max="12293" width="5.6640625" customWidth="1"/>
    <col min="12294" max="12294" width="15.33203125" customWidth="1"/>
    <col min="12295" max="12300" width="15.1640625" customWidth="1"/>
    <col min="12545" max="12545" width="2.5" customWidth="1"/>
    <col min="12546" max="12546" width="3.5" customWidth="1"/>
    <col min="12547" max="12547" width="23.33203125" customWidth="1"/>
    <col min="12548" max="12548" width="4.5" customWidth="1"/>
    <col min="12549" max="12549" width="5.6640625" customWidth="1"/>
    <col min="12550" max="12550" width="15.33203125" customWidth="1"/>
    <col min="12551" max="12556" width="15.1640625" customWidth="1"/>
    <col min="12801" max="12801" width="2.5" customWidth="1"/>
    <col min="12802" max="12802" width="3.5" customWidth="1"/>
    <col min="12803" max="12803" width="23.33203125" customWidth="1"/>
    <col min="12804" max="12804" width="4.5" customWidth="1"/>
    <col min="12805" max="12805" width="5.6640625" customWidth="1"/>
    <col min="12806" max="12806" width="15.33203125" customWidth="1"/>
    <col min="12807" max="12812" width="15.1640625" customWidth="1"/>
    <col min="13057" max="13057" width="2.5" customWidth="1"/>
    <col min="13058" max="13058" width="3.5" customWidth="1"/>
    <col min="13059" max="13059" width="23.33203125" customWidth="1"/>
    <col min="13060" max="13060" width="4.5" customWidth="1"/>
    <col min="13061" max="13061" width="5.6640625" customWidth="1"/>
    <col min="13062" max="13062" width="15.33203125" customWidth="1"/>
    <col min="13063" max="13068" width="15.1640625" customWidth="1"/>
    <col min="13313" max="13313" width="2.5" customWidth="1"/>
    <col min="13314" max="13314" width="3.5" customWidth="1"/>
    <col min="13315" max="13315" width="23.33203125" customWidth="1"/>
    <col min="13316" max="13316" width="4.5" customWidth="1"/>
    <col min="13317" max="13317" width="5.6640625" customWidth="1"/>
    <col min="13318" max="13318" width="15.33203125" customWidth="1"/>
    <col min="13319" max="13324" width="15.1640625" customWidth="1"/>
    <col min="13569" max="13569" width="2.5" customWidth="1"/>
    <col min="13570" max="13570" width="3.5" customWidth="1"/>
    <col min="13571" max="13571" width="23.33203125" customWidth="1"/>
    <col min="13572" max="13572" width="4.5" customWidth="1"/>
    <col min="13573" max="13573" width="5.6640625" customWidth="1"/>
    <col min="13574" max="13574" width="15.33203125" customWidth="1"/>
    <col min="13575" max="13580" width="15.1640625" customWidth="1"/>
    <col min="13825" max="13825" width="2.5" customWidth="1"/>
    <col min="13826" max="13826" width="3.5" customWidth="1"/>
    <col min="13827" max="13827" width="23.33203125" customWidth="1"/>
    <col min="13828" max="13828" width="4.5" customWidth="1"/>
    <col min="13829" max="13829" width="5.6640625" customWidth="1"/>
    <col min="13830" max="13830" width="15.33203125" customWidth="1"/>
    <col min="13831" max="13836" width="15.1640625" customWidth="1"/>
    <col min="14081" max="14081" width="2.5" customWidth="1"/>
    <col min="14082" max="14082" width="3.5" customWidth="1"/>
    <col min="14083" max="14083" width="23.33203125" customWidth="1"/>
    <col min="14084" max="14084" width="4.5" customWidth="1"/>
    <col min="14085" max="14085" width="5.6640625" customWidth="1"/>
    <col min="14086" max="14086" width="15.33203125" customWidth="1"/>
    <col min="14087" max="14092" width="15.1640625" customWidth="1"/>
    <col min="14337" max="14337" width="2.5" customWidth="1"/>
    <col min="14338" max="14338" width="3.5" customWidth="1"/>
    <col min="14339" max="14339" width="23.33203125" customWidth="1"/>
    <col min="14340" max="14340" width="4.5" customWidth="1"/>
    <col min="14341" max="14341" width="5.6640625" customWidth="1"/>
    <col min="14342" max="14342" width="15.33203125" customWidth="1"/>
    <col min="14343" max="14348" width="15.1640625" customWidth="1"/>
    <col min="14593" max="14593" width="2.5" customWidth="1"/>
    <col min="14594" max="14594" width="3.5" customWidth="1"/>
    <col min="14595" max="14595" width="23.33203125" customWidth="1"/>
    <col min="14596" max="14596" width="4.5" customWidth="1"/>
    <col min="14597" max="14597" width="5.6640625" customWidth="1"/>
    <col min="14598" max="14598" width="15.33203125" customWidth="1"/>
    <col min="14599" max="14604" width="15.1640625" customWidth="1"/>
    <col min="14849" max="14849" width="2.5" customWidth="1"/>
    <col min="14850" max="14850" width="3.5" customWidth="1"/>
    <col min="14851" max="14851" width="23.33203125" customWidth="1"/>
    <col min="14852" max="14852" width="4.5" customWidth="1"/>
    <col min="14853" max="14853" width="5.6640625" customWidth="1"/>
    <col min="14854" max="14854" width="15.33203125" customWidth="1"/>
    <col min="14855" max="14860" width="15.1640625" customWidth="1"/>
    <col min="15105" max="15105" width="2.5" customWidth="1"/>
    <col min="15106" max="15106" width="3.5" customWidth="1"/>
    <col min="15107" max="15107" width="23.33203125" customWidth="1"/>
    <col min="15108" max="15108" width="4.5" customWidth="1"/>
    <col min="15109" max="15109" width="5.6640625" customWidth="1"/>
    <col min="15110" max="15110" width="15.33203125" customWidth="1"/>
    <col min="15111" max="15116" width="15.1640625" customWidth="1"/>
    <col min="15361" max="15361" width="2.5" customWidth="1"/>
    <col min="15362" max="15362" width="3.5" customWidth="1"/>
    <col min="15363" max="15363" width="23.33203125" customWidth="1"/>
    <col min="15364" max="15364" width="4.5" customWidth="1"/>
    <col min="15365" max="15365" width="5.6640625" customWidth="1"/>
    <col min="15366" max="15366" width="15.33203125" customWidth="1"/>
    <col min="15367" max="15372" width="15.1640625" customWidth="1"/>
    <col min="15617" max="15617" width="2.5" customWidth="1"/>
    <col min="15618" max="15618" width="3.5" customWidth="1"/>
    <col min="15619" max="15619" width="23.33203125" customWidth="1"/>
    <col min="15620" max="15620" width="4.5" customWidth="1"/>
    <col min="15621" max="15621" width="5.6640625" customWidth="1"/>
    <col min="15622" max="15622" width="15.33203125" customWidth="1"/>
    <col min="15623" max="15628" width="15.1640625" customWidth="1"/>
    <col min="15873" max="15873" width="2.5" customWidth="1"/>
    <col min="15874" max="15874" width="3.5" customWidth="1"/>
    <col min="15875" max="15875" width="23.33203125" customWidth="1"/>
    <col min="15876" max="15876" width="4.5" customWidth="1"/>
    <col min="15877" max="15877" width="5.6640625" customWidth="1"/>
    <col min="15878" max="15878" width="15.33203125" customWidth="1"/>
    <col min="15879" max="15884" width="15.1640625" customWidth="1"/>
    <col min="16129" max="16129" width="2.5" customWidth="1"/>
    <col min="16130" max="16130" width="3.5" customWidth="1"/>
    <col min="16131" max="16131" width="23.33203125" customWidth="1"/>
    <col min="16132" max="16132" width="4.5" customWidth="1"/>
    <col min="16133" max="16133" width="5.6640625" customWidth="1"/>
    <col min="16134" max="16134" width="15.33203125" customWidth="1"/>
    <col min="16135" max="16140" width="15.1640625" customWidth="1"/>
  </cols>
  <sheetData>
    <row r="1" spans="1:12" ht="15">
      <c r="A1" s="833"/>
      <c r="B1" s="833"/>
      <c r="C1" s="834"/>
      <c r="D1" s="834"/>
      <c r="E1" s="1323" t="s">
        <v>2501</v>
      </c>
      <c r="F1" s="1324"/>
      <c r="G1" s="1325"/>
      <c r="H1" s="1325"/>
      <c r="I1" s="1325"/>
      <c r="J1" s="1325"/>
      <c r="K1" s="837">
        <v>20180319</v>
      </c>
      <c r="L1" s="836" t="s">
        <v>2718</v>
      </c>
    </row>
    <row r="2" spans="1:12">
      <c r="A2" s="833"/>
      <c r="B2" s="833"/>
      <c r="C2" s="2882" t="s">
        <v>2503</v>
      </c>
      <c r="D2" s="2883"/>
      <c r="E2" s="2883"/>
      <c r="F2" s="833" t="s">
        <v>2504</v>
      </c>
      <c r="G2" s="840"/>
      <c r="H2" s="841"/>
      <c r="I2" s="841"/>
      <c r="J2" s="841"/>
      <c r="K2" s="833"/>
      <c r="L2" s="841" t="s">
        <v>246</v>
      </c>
    </row>
    <row r="3" spans="1:12">
      <c r="A3" s="842"/>
      <c r="B3" s="843"/>
      <c r="C3" s="844"/>
      <c r="D3" s="845"/>
      <c r="E3" s="846"/>
      <c r="F3" s="847"/>
      <c r="G3" s="1326" t="s">
        <v>2719</v>
      </c>
      <c r="H3" s="1326"/>
      <c r="I3" s="1326"/>
      <c r="J3" s="1326"/>
      <c r="K3" s="1326"/>
      <c r="L3" s="1327"/>
    </row>
    <row r="4" spans="1:12">
      <c r="A4" s="842"/>
      <c r="B4" s="2884" t="s">
        <v>2506</v>
      </c>
      <c r="C4" s="2885"/>
      <c r="D4" s="2885"/>
      <c r="E4" s="846"/>
      <c r="F4" s="849">
        <f>SUM(G4:L4)</f>
        <v>0</v>
      </c>
      <c r="G4" s="850">
        <f>G61</f>
        <v>0</v>
      </c>
      <c r="H4" s="851">
        <f t="shared" ref="G4:L5" si="0">H61</f>
        <v>0</v>
      </c>
      <c r="I4" s="851">
        <f t="shared" si="0"/>
        <v>0</v>
      </c>
      <c r="J4" s="851">
        <f t="shared" si="0"/>
        <v>0</v>
      </c>
      <c r="K4" s="849">
        <f t="shared" si="0"/>
        <v>0</v>
      </c>
      <c r="L4" s="852">
        <f t="shared" si="0"/>
        <v>0</v>
      </c>
    </row>
    <row r="5" spans="1:12">
      <c r="A5" s="853"/>
      <c r="B5" s="2886" t="s">
        <v>2507</v>
      </c>
      <c r="C5" s="2887"/>
      <c r="D5" s="2887"/>
      <c r="E5" s="854"/>
      <c r="F5" s="855">
        <f>SUM(G5:L5)</f>
        <v>0</v>
      </c>
      <c r="G5" s="856">
        <f t="shared" si="0"/>
        <v>0</v>
      </c>
      <c r="H5" s="857">
        <f t="shared" si="0"/>
        <v>0</v>
      </c>
      <c r="I5" s="857">
        <f t="shared" si="0"/>
        <v>0</v>
      </c>
      <c r="J5" s="857">
        <f t="shared" si="0"/>
        <v>0</v>
      </c>
      <c r="K5" s="855">
        <f t="shared" si="0"/>
        <v>0</v>
      </c>
      <c r="L5" s="858">
        <f t="shared" si="0"/>
        <v>0</v>
      </c>
    </row>
    <row r="6" spans="1:12">
      <c r="A6" s="859"/>
      <c r="B6" s="2733" t="s">
        <v>234</v>
      </c>
      <c r="C6" s="2888"/>
      <c r="D6" s="2888"/>
      <c r="E6" s="860"/>
      <c r="F6" s="861">
        <f>SUM(G6:L6)</f>
        <v>0</v>
      </c>
      <c r="G6" s="862">
        <f t="shared" ref="G6:L6" si="1">G60</f>
        <v>0</v>
      </c>
      <c r="H6" s="863">
        <f t="shared" si="1"/>
        <v>0</v>
      </c>
      <c r="I6" s="863">
        <f t="shared" si="1"/>
        <v>0</v>
      </c>
      <c r="J6" s="863">
        <f t="shared" si="1"/>
        <v>0</v>
      </c>
      <c r="K6" s="861">
        <f t="shared" si="1"/>
        <v>0</v>
      </c>
      <c r="L6" s="864">
        <f t="shared" si="1"/>
        <v>0</v>
      </c>
    </row>
    <row r="7" spans="1:12">
      <c r="A7" s="833"/>
      <c r="B7" s="1328"/>
      <c r="C7" s="1329"/>
      <c r="D7" s="1330"/>
      <c r="E7" s="1331"/>
      <c r="F7" s="1332"/>
      <c r="G7" s="1333" t="s">
        <v>2720</v>
      </c>
      <c r="H7" s="1334"/>
      <c r="I7" s="1335"/>
      <c r="J7" s="1335"/>
      <c r="K7" s="1335"/>
      <c r="L7" s="1335" t="s">
        <v>2509</v>
      </c>
    </row>
    <row r="8" spans="1:12" ht="15">
      <c r="A8" s="870"/>
      <c r="B8" s="871"/>
      <c r="C8" s="872" t="s">
        <v>2510</v>
      </c>
      <c r="D8" s="873"/>
      <c r="E8" s="874"/>
      <c r="F8" s="875" t="s">
        <v>2588</v>
      </c>
      <c r="G8" s="1336">
        <f>G65</f>
        <v>3.5</v>
      </c>
      <c r="H8" s="1336"/>
      <c r="I8" s="1336"/>
      <c r="J8" s="1336"/>
      <c r="K8" s="1336"/>
      <c r="L8" s="1337"/>
    </row>
    <row r="9" spans="1:12" s="1278" customFormat="1" ht="13.5" customHeight="1">
      <c r="A9" s="1338"/>
      <c r="B9" s="1339" t="s">
        <v>2721</v>
      </c>
      <c r="C9" s="1340"/>
      <c r="D9" s="1340"/>
      <c r="E9" s="1341"/>
      <c r="F9" s="1342">
        <f>SUM(G9:L9)</f>
        <v>2000000</v>
      </c>
      <c r="G9" s="1343">
        <v>2000000</v>
      </c>
      <c r="H9" s="1343"/>
      <c r="I9" s="1343"/>
      <c r="J9" s="1343"/>
      <c r="K9" s="1343"/>
      <c r="L9" s="1344"/>
    </row>
    <row r="10" spans="1:12" s="1278" customFormat="1" ht="13.5" customHeight="1">
      <c r="A10" s="1345"/>
      <c r="B10" s="1346" t="s">
        <v>2722</v>
      </c>
      <c r="C10" s="1347"/>
      <c r="D10" s="1347"/>
      <c r="E10" s="1348"/>
      <c r="F10" s="1349"/>
      <c r="G10" s="1350">
        <v>100000</v>
      </c>
      <c r="H10" s="1350"/>
      <c r="I10" s="1350"/>
      <c r="J10" s="1350"/>
      <c r="K10" s="1350"/>
      <c r="L10" s="1351"/>
    </row>
    <row r="11" spans="1:12" s="1278" customFormat="1" ht="13.5" customHeight="1">
      <c r="A11" s="1345"/>
      <c r="B11" s="1352"/>
      <c r="C11" s="1353" t="s">
        <v>2723</v>
      </c>
      <c r="D11" s="1353"/>
      <c r="E11" s="1354"/>
      <c r="F11" s="1355"/>
      <c r="G11" s="1356">
        <v>70000</v>
      </c>
      <c r="H11" s="1356"/>
      <c r="I11" s="1356"/>
      <c r="J11" s="1356"/>
      <c r="K11" s="1356"/>
      <c r="L11" s="1357"/>
    </row>
    <row r="12" spans="1:12" s="1278" customFormat="1" ht="13.5" customHeight="1">
      <c r="A12" s="1358"/>
      <c r="B12" s="1359" t="s">
        <v>2724</v>
      </c>
      <c r="C12" s="1360"/>
      <c r="D12" s="1360"/>
      <c r="E12" s="1361"/>
      <c r="F12" s="1362">
        <f>SUM(G12:L12)</f>
        <v>1729508</v>
      </c>
      <c r="G12" s="1363">
        <f t="shared" ref="G12:L12" si="2">+G217-G72</f>
        <v>1729508</v>
      </c>
      <c r="H12" s="1363">
        <f t="shared" si="2"/>
        <v>0</v>
      </c>
      <c r="I12" s="1363">
        <f t="shared" si="2"/>
        <v>0</v>
      </c>
      <c r="J12" s="1363">
        <f t="shared" si="2"/>
        <v>0</v>
      </c>
      <c r="K12" s="1363">
        <f t="shared" si="2"/>
        <v>0</v>
      </c>
      <c r="L12" s="1363">
        <f t="shared" si="2"/>
        <v>0</v>
      </c>
    </row>
    <row r="13" spans="1:12" s="1278" customFormat="1" ht="13.5" hidden="1" customHeight="1">
      <c r="A13" s="1345"/>
      <c r="B13" s="1359" t="s">
        <v>2725</v>
      </c>
      <c r="C13" s="1360"/>
      <c r="D13" s="1360"/>
      <c r="E13" s="1361"/>
      <c r="F13" s="1362">
        <f>SUM(G13:L13)</f>
        <v>100000</v>
      </c>
      <c r="G13" s="1363">
        <f t="shared" ref="G13:L13" si="3">G214-G69</f>
        <v>100000</v>
      </c>
      <c r="H13" s="1363">
        <f t="shared" si="3"/>
        <v>0</v>
      </c>
      <c r="I13" s="1363">
        <f t="shared" si="3"/>
        <v>0</v>
      </c>
      <c r="J13" s="1363">
        <f t="shared" si="3"/>
        <v>0</v>
      </c>
      <c r="K13" s="1363">
        <f t="shared" si="3"/>
        <v>0</v>
      </c>
      <c r="L13" s="1363">
        <f t="shared" si="3"/>
        <v>0</v>
      </c>
    </row>
    <row r="14" spans="1:12" s="1278" customFormat="1" ht="13.5" customHeight="1">
      <c r="A14" s="1345"/>
      <c r="B14" s="1364" t="s">
        <v>2726</v>
      </c>
      <c r="C14" s="1353"/>
      <c r="D14" s="1353"/>
      <c r="E14" s="1354"/>
      <c r="F14" s="1365">
        <f>SUM(G14:L14)</f>
        <v>94000</v>
      </c>
      <c r="G14" s="1366">
        <f t="shared" ref="G14:L14" si="4">G220-G75</f>
        <v>94000</v>
      </c>
      <c r="H14" s="1366">
        <f t="shared" si="4"/>
        <v>0</v>
      </c>
      <c r="I14" s="1366">
        <f t="shared" si="4"/>
        <v>0</v>
      </c>
      <c r="J14" s="1366">
        <f t="shared" si="4"/>
        <v>0</v>
      </c>
      <c r="K14" s="1366">
        <f t="shared" si="4"/>
        <v>0</v>
      </c>
      <c r="L14" s="1366">
        <f t="shared" si="4"/>
        <v>0</v>
      </c>
    </row>
    <row r="15" spans="1:12">
      <c r="A15" s="1367" t="s">
        <v>2727</v>
      </c>
      <c r="B15" s="1368"/>
      <c r="C15" s="1369"/>
      <c r="D15" s="1370" t="s">
        <v>2623</v>
      </c>
      <c r="E15" s="1370" t="s">
        <v>2656</v>
      </c>
      <c r="F15" s="1370"/>
      <c r="G15" s="1370"/>
      <c r="H15" s="1370"/>
      <c r="I15" s="1370"/>
      <c r="J15" s="1370"/>
      <c r="K15" s="1370"/>
      <c r="L15" s="1371"/>
    </row>
    <row r="16" spans="1:12">
      <c r="A16" s="1372"/>
      <c r="B16" s="2889" t="s">
        <v>2728</v>
      </c>
      <c r="C16" s="1373" t="str">
        <f>+C88</f>
        <v>(1)新築一般建築工事</v>
      </c>
      <c r="D16" s="1373"/>
      <c r="E16" s="1374"/>
      <c r="F16" s="1375">
        <f>SUM(G16:L16)</f>
        <v>0</v>
      </c>
      <c r="G16" s="1376"/>
      <c r="H16" s="1376"/>
      <c r="I16" s="1376"/>
      <c r="J16" s="1376"/>
      <c r="K16" s="1376"/>
      <c r="L16" s="1377"/>
    </row>
    <row r="17" spans="1:12">
      <c r="A17" s="1372"/>
      <c r="B17" s="2890"/>
      <c r="C17" s="1378" t="str">
        <f t="shared" ref="C17:C23" si="5">+C89</f>
        <v>(2)改修一般建築工事</v>
      </c>
      <c r="D17" s="1378"/>
      <c r="E17" s="1379"/>
      <c r="F17" s="1380">
        <f t="shared" ref="F17:F34" si="6">SUM(G17:L17)</f>
        <v>570000</v>
      </c>
      <c r="G17" s="910">
        <f t="shared" ref="G17:L17" si="7">G35-G16-SUM(G18:G34)</f>
        <v>570000</v>
      </c>
      <c r="H17" s="910">
        <f t="shared" si="7"/>
        <v>0</v>
      </c>
      <c r="I17" s="910">
        <f t="shared" si="7"/>
        <v>0</v>
      </c>
      <c r="J17" s="910">
        <f t="shared" si="7"/>
        <v>0</v>
      </c>
      <c r="K17" s="910">
        <f t="shared" si="7"/>
        <v>0</v>
      </c>
      <c r="L17" s="911">
        <f t="shared" si="7"/>
        <v>0</v>
      </c>
    </row>
    <row r="18" spans="1:12">
      <c r="A18" s="1372"/>
      <c r="B18" s="2891" t="s">
        <v>2729</v>
      </c>
      <c r="C18" s="1378" t="str">
        <f t="shared" si="5"/>
        <v>(3)共通仮設工事（下請経費共）(警備員等除く)</v>
      </c>
      <c r="D18" s="1378"/>
      <c r="E18" s="1381">
        <f>+E115</f>
        <v>0.25</v>
      </c>
      <c r="F18" s="1380">
        <f t="shared" si="6"/>
        <v>30000</v>
      </c>
      <c r="G18" s="910">
        <f t="shared" ref="G18:L18" si="8">IF(G33=0,G10-G11,0)</f>
        <v>30000</v>
      </c>
      <c r="H18" s="910">
        <f t="shared" si="8"/>
        <v>0</v>
      </c>
      <c r="I18" s="910">
        <f t="shared" si="8"/>
        <v>0</v>
      </c>
      <c r="J18" s="910">
        <f t="shared" si="8"/>
        <v>0</v>
      </c>
      <c r="K18" s="910">
        <f t="shared" si="8"/>
        <v>0</v>
      </c>
      <c r="L18" s="911">
        <f t="shared" si="8"/>
        <v>0</v>
      </c>
    </row>
    <row r="19" spans="1:12">
      <c r="A19" s="1372"/>
      <c r="B19" s="2892"/>
      <c r="C19" s="1378" t="str">
        <f t="shared" si="5"/>
        <v>(4)直接仮設工事（下請経費共）</v>
      </c>
      <c r="D19" s="1378"/>
      <c r="E19" s="1381">
        <f>+E116</f>
        <v>0.25</v>
      </c>
      <c r="F19" s="1380">
        <f t="shared" si="6"/>
        <v>0</v>
      </c>
      <c r="G19" s="1382">
        <v>0</v>
      </c>
      <c r="H19" s="1382"/>
      <c r="I19" s="1382"/>
      <c r="J19" s="1382"/>
      <c r="K19" s="1382"/>
      <c r="L19" s="1383"/>
    </row>
    <row r="20" spans="1:12">
      <c r="A20" s="1372"/>
      <c r="B20" s="2892"/>
      <c r="C20" s="1378" t="str">
        <f t="shared" si="5"/>
        <v>(5)塗装工事（下請経費共）</v>
      </c>
      <c r="D20" s="1378"/>
      <c r="E20" s="1381">
        <f>+E117</f>
        <v>0.22</v>
      </c>
      <c r="F20" s="1380">
        <f t="shared" si="6"/>
        <v>1500000</v>
      </c>
      <c r="G20" s="1382">
        <v>1500000</v>
      </c>
      <c r="H20" s="1382"/>
      <c r="I20" s="1382"/>
      <c r="J20" s="1382"/>
      <c r="K20" s="1382"/>
      <c r="L20" s="1383"/>
    </row>
    <row r="21" spans="1:12">
      <c r="A21" s="1372"/>
      <c r="B21" s="2892"/>
      <c r="C21" s="1378" t="str">
        <f t="shared" si="5"/>
        <v>(6)場内小運搬費（下請経費共）</v>
      </c>
      <c r="D21" s="1378"/>
      <c r="E21" s="1381">
        <f>+E118</f>
        <v>0.25</v>
      </c>
      <c r="F21" s="1380">
        <f t="shared" si="6"/>
        <v>0</v>
      </c>
      <c r="G21" s="1382"/>
      <c r="H21" s="1382"/>
      <c r="I21" s="1382"/>
      <c r="J21" s="1382"/>
      <c r="K21" s="1382"/>
      <c r="L21" s="1383"/>
    </row>
    <row r="22" spans="1:12">
      <c r="A22" s="1372"/>
      <c r="B22" s="2892"/>
      <c r="C22" s="1378" t="str">
        <f t="shared" si="5"/>
        <v>(7)〃人力積込み費（下請経費共）</v>
      </c>
      <c r="D22" s="1378"/>
      <c r="E22" s="1381">
        <f>+E119</f>
        <v>0.25</v>
      </c>
      <c r="F22" s="1380">
        <f t="shared" si="6"/>
        <v>0</v>
      </c>
      <c r="G22" s="1382"/>
      <c r="H22" s="1382"/>
      <c r="I22" s="1382"/>
      <c r="J22" s="1382"/>
      <c r="K22" s="1382"/>
      <c r="L22" s="1383"/>
    </row>
    <row r="23" spans="1:12">
      <c r="A23" s="1372"/>
      <c r="B23" s="2892"/>
      <c r="C23" s="1378" t="str">
        <f t="shared" si="5"/>
        <v>(8)</v>
      </c>
      <c r="D23" s="1378"/>
      <c r="E23" s="1381"/>
      <c r="F23" s="1380">
        <f t="shared" si="6"/>
        <v>0</v>
      </c>
      <c r="G23" s="910"/>
      <c r="H23" s="910"/>
      <c r="I23" s="910"/>
      <c r="J23" s="910"/>
      <c r="K23" s="910"/>
      <c r="L23" s="911"/>
    </row>
    <row r="24" spans="1:12">
      <c r="A24" s="1372"/>
      <c r="B24" s="2892"/>
      <c r="C24" s="1378"/>
      <c r="D24" s="1378"/>
      <c r="E24" s="1379"/>
      <c r="F24" s="1380">
        <f t="shared" si="6"/>
        <v>0</v>
      </c>
      <c r="G24" s="910"/>
      <c r="H24" s="910"/>
      <c r="I24" s="910"/>
      <c r="J24" s="910"/>
      <c r="K24" s="910"/>
      <c r="L24" s="911"/>
    </row>
    <row r="25" spans="1:12">
      <c r="A25" s="1372"/>
      <c r="B25" s="2891" t="s">
        <v>477</v>
      </c>
      <c r="C25" s="1384" t="str">
        <f t="shared" ref="C25:C34" si="9">+C98</f>
        <v>(9)近隣家屋調査及び地質調査</v>
      </c>
      <c r="D25" s="1378"/>
      <c r="E25" s="1379"/>
      <c r="F25" s="1380">
        <f t="shared" si="6"/>
        <v>0</v>
      </c>
      <c r="G25" s="1382"/>
      <c r="H25" s="1382"/>
      <c r="I25" s="1382"/>
      <c r="J25" s="1382"/>
      <c r="K25" s="1382"/>
      <c r="L25" s="1383"/>
    </row>
    <row r="26" spans="1:12">
      <c r="A26" s="1372"/>
      <c r="B26" s="2892"/>
      <c r="C26" s="1384" t="str">
        <f t="shared" si="9"/>
        <v>(10)とりこわし工事</v>
      </c>
      <c r="D26" s="1378"/>
      <c r="E26" s="1379"/>
      <c r="F26" s="1380">
        <f>SUM(G26:L26)</f>
        <v>0</v>
      </c>
      <c r="G26" s="1382"/>
      <c r="H26" s="1382"/>
      <c r="I26" s="1382"/>
      <c r="J26" s="1382"/>
      <c r="K26" s="1382"/>
      <c r="L26" s="1383"/>
    </row>
    <row r="27" spans="1:12">
      <c r="A27" s="1372"/>
      <c r="B27" s="2890"/>
      <c r="C27" s="1384" t="str">
        <f t="shared" si="9"/>
        <v>(11)</v>
      </c>
      <c r="D27" s="1378"/>
      <c r="E27" s="1379"/>
      <c r="F27" s="1380">
        <f t="shared" si="6"/>
        <v>0</v>
      </c>
      <c r="G27" s="1382"/>
      <c r="H27" s="1382"/>
      <c r="I27" s="1382"/>
      <c r="J27" s="1382"/>
      <c r="K27" s="1382"/>
      <c r="L27" s="1383"/>
    </row>
    <row r="28" spans="1:12" ht="13.5" customHeight="1">
      <c r="A28" s="1372"/>
      <c r="B28" s="2891" t="s">
        <v>2544</v>
      </c>
      <c r="C28" s="1378" t="str">
        <f t="shared" si="9"/>
        <v>(12)残材処分費及び残土処分費</v>
      </c>
      <c r="D28" s="1378"/>
      <c r="E28" s="1379"/>
      <c r="F28" s="1380">
        <f t="shared" si="6"/>
        <v>0</v>
      </c>
      <c r="G28" s="1382"/>
      <c r="H28" s="1382"/>
      <c r="I28" s="1382"/>
      <c r="J28" s="1382"/>
      <c r="K28" s="1382"/>
      <c r="L28" s="1383"/>
    </row>
    <row r="29" spans="1:12">
      <c r="A29" s="1372"/>
      <c r="B29" s="2892"/>
      <c r="C29" s="1378"/>
      <c r="D29" s="1378"/>
      <c r="E29" s="1379"/>
      <c r="F29" s="1380">
        <f>SUM(G29:L29)</f>
        <v>0</v>
      </c>
      <c r="G29" s="1382"/>
      <c r="H29" s="1382"/>
      <c r="I29" s="1382"/>
      <c r="J29" s="1382"/>
      <c r="K29" s="1382"/>
      <c r="L29" s="1383"/>
    </row>
    <row r="30" spans="1:12">
      <c r="A30" s="1372"/>
      <c r="B30" s="2892"/>
      <c r="C30" s="1378" t="str">
        <f t="shared" si="9"/>
        <v>(14)リース料（共通仮設）</v>
      </c>
      <c r="D30" s="1378"/>
      <c r="E30" s="1379"/>
      <c r="F30" s="1380">
        <f>SUM(G30:L30)</f>
        <v>0</v>
      </c>
      <c r="G30" s="1382"/>
      <c r="H30" s="1382"/>
      <c r="I30" s="1382"/>
      <c r="J30" s="1382"/>
      <c r="K30" s="1382"/>
      <c r="L30" s="1383"/>
    </row>
    <row r="31" spans="1:12">
      <c r="A31" s="1372"/>
      <c r="B31" s="2892"/>
      <c r="C31" s="1378" t="str">
        <f t="shared" si="9"/>
        <v>(15)借地借家料（共通仮設）</v>
      </c>
      <c r="D31" s="1385"/>
      <c r="E31" s="1386"/>
      <c r="F31" s="1387">
        <f>SUM(G31:L31)</f>
        <v>0</v>
      </c>
      <c r="G31" s="1388"/>
      <c r="H31" s="1388"/>
      <c r="I31" s="1388"/>
      <c r="J31" s="1388"/>
      <c r="K31" s="1388"/>
      <c r="L31" s="1389"/>
    </row>
    <row r="32" spans="1:12">
      <c r="A32" s="1372"/>
      <c r="B32" s="2892"/>
      <c r="C32" s="1378" t="str">
        <f t="shared" si="9"/>
        <v>(16)別途算定（直工費）</v>
      </c>
      <c r="D32" s="1378"/>
      <c r="E32" s="1379"/>
      <c r="F32" s="1380">
        <f t="shared" si="6"/>
        <v>0</v>
      </c>
      <c r="G32" s="1390"/>
      <c r="H32" s="1390"/>
      <c r="I32" s="1390"/>
      <c r="J32" s="1390"/>
      <c r="K32" s="1390"/>
      <c r="L32" s="1391"/>
    </row>
    <row r="33" spans="1:12">
      <c r="A33" s="1372"/>
      <c r="B33" s="2892"/>
      <c r="C33" s="1378" t="str">
        <f t="shared" si="9"/>
        <v>(17)別途算定（共通仮設）</v>
      </c>
      <c r="D33" s="1378"/>
      <c r="E33" s="1379"/>
      <c r="F33" s="1380">
        <f t="shared" si="6"/>
        <v>0</v>
      </c>
      <c r="G33" s="1390"/>
      <c r="H33" s="1390"/>
      <c r="I33" s="1390"/>
      <c r="J33" s="1390"/>
      <c r="K33" s="1390"/>
      <c r="L33" s="1391"/>
    </row>
    <row r="34" spans="1:12" ht="15" thickBot="1">
      <c r="A34" s="1372"/>
      <c r="B34" s="2892"/>
      <c r="C34" s="1392" t="str">
        <f t="shared" si="9"/>
        <v>(18)下水道使用料、各種負担金（共通仮設）</v>
      </c>
      <c r="D34" s="1392"/>
      <c r="E34" s="1386"/>
      <c r="F34" s="1387">
        <f t="shared" si="6"/>
        <v>0</v>
      </c>
      <c r="G34" s="1388"/>
      <c r="H34" s="1388"/>
      <c r="I34" s="1388"/>
      <c r="J34" s="1388"/>
      <c r="K34" s="1388"/>
      <c r="L34" s="1389"/>
    </row>
    <row r="35" spans="1:12">
      <c r="A35" s="1393"/>
      <c r="B35" s="1394"/>
      <c r="C35" s="1395" t="s">
        <v>2730</v>
      </c>
      <c r="D35" s="1396"/>
      <c r="E35" s="1397"/>
      <c r="F35" s="1398"/>
      <c r="G35" s="1399">
        <f t="shared" ref="G35:L35" si="10">+G9+G10+G29+G30+G31+G33+G34</f>
        <v>2100000</v>
      </c>
      <c r="H35" s="1399">
        <f t="shared" si="10"/>
        <v>0</v>
      </c>
      <c r="I35" s="1399">
        <f t="shared" si="10"/>
        <v>0</v>
      </c>
      <c r="J35" s="1399">
        <f t="shared" si="10"/>
        <v>0</v>
      </c>
      <c r="K35" s="1399">
        <f t="shared" si="10"/>
        <v>0</v>
      </c>
      <c r="L35" s="1400">
        <f t="shared" si="10"/>
        <v>0</v>
      </c>
    </row>
    <row r="36" spans="1:12">
      <c r="A36" s="1401"/>
      <c r="B36" s="1402"/>
      <c r="C36" s="1403" t="s">
        <v>2731</v>
      </c>
      <c r="D36" s="1404"/>
      <c r="E36" s="1405"/>
      <c r="F36" s="1406"/>
      <c r="G36" s="975">
        <f t="shared" ref="G36:L36" si="11">SUM(G258:G271)-SUM(G113:G126)</f>
        <v>1823508</v>
      </c>
      <c r="H36" s="975">
        <f t="shared" si="11"/>
        <v>0</v>
      </c>
      <c r="I36" s="975">
        <f t="shared" si="11"/>
        <v>0</v>
      </c>
      <c r="J36" s="975">
        <f t="shared" si="11"/>
        <v>0</v>
      </c>
      <c r="K36" s="975">
        <f t="shared" si="11"/>
        <v>0</v>
      </c>
      <c r="L36" s="1407">
        <f t="shared" si="11"/>
        <v>0</v>
      </c>
    </row>
    <row r="37" spans="1:12">
      <c r="A37" s="2893" t="s">
        <v>2732</v>
      </c>
      <c r="B37" s="2893"/>
      <c r="C37" s="2894"/>
      <c r="D37" s="942"/>
      <c r="E37" s="943"/>
      <c r="F37" s="944"/>
      <c r="G37" s="945"/>
      <c r="H37" s="945"/>
      <c r="I37" s="945"/>
      <c r="J37" s="945"/>
      <c r="K37" s="945"/>
      <c r="L37" s="1408"/>
    </row>
    <row r="38" spans="1:12" ht="13.5" customHeight="1">
      <c r="A38" s="2740"/>
      <c r="B38" s="1409" t="s">
        <v>2733</v>
      </c>
      <c r="C38" s="1410" t="s">
        <v>2734</v>
      </c>
      <c r="D38" s="948"/>
      <c r="E38" s="954"/>
      <c r="F38" s="1411">
        <f>SUM(G38:L38)</f>
        <v>128877</v>
      </c>
      <c r="G38" s="910">
        <f t="shared" ref="G38:L38" si="12">-(+G129+G131)+(G274+G276)</f>
        <v>128877</v>
      </c>
      <c r="H38" s="910">
        <f t="shared" si="12"/>
        <v>0</v>
      </c>
      <c r="I38" s="910">
        <f t="shared" si="12"/>
        <v>0</v>
      </c>
      <c r="J38" s="910">
        <f t="shared" si="12"/>
        <v>0</v>
      </c>
      <c r="K38" s="910">
        <f t="shared" si="12"/>
        <v>0</v>
      </c>
      <c r="L38" s="911">
        <f t="shared" si="12"/>
        <v>0</v>
      </c>
    </row>
    <row r="39" spans="1:12">
      <c r="A39" s="2740"/>
      <c r="B39" s="1412" t="s">
        <v>2735</v>
      </c>
      <c r="C39" s="1413" t="s">
        <v>2736</v>
      </c>
      <c r="D39" s="948"/>
      <c r="E39" s="954"/>
      <c r="F39" s="1411">
        <f>SUM(G39:L39)</f>
        <v>138246</v>
      </c>
      <c r="G39" s="910">
        <f t="shared" ref="G39:L39" si="13">SUM(G277:G284)-SUM(G132:G139)</f>
        <v>138246</v>
      </c>
      <c r="H39" s="910">
        <f t="shared" si="13"/>
        <v>0</v>
      </c>
      <c r="I39" s="910">
        <f t="shared" si="13"/>
        <v>0</v>
      </c>
      <c r="J39" s="910">
        <f t="shared" si="13"/>
        <v>0</v>
      </c>
      <c r="K39" s="910">
        <f t="shared" si="13"/>
        <v>0</v>
      </c>
      <c r="L39" s="911">
        <f t="shared" si="13"/>
        <v>0</v>
      </c>
    </row>
    <row r="40" spans="1:12">
      <c r="A40" s="2740"/>
      <c r="B40" s="1414" t="s">
        <v>477</v>
      </c>
      <c r="C40" s="1413" t="s">
        <v>2737</v>
      </c>
      <c r="D40" s="948">
        <f>IF(OR($Y$2="下請け",$Y$2="下請"),0.6,1)</f>
        <v>1</v>
      </c>
      <c r="E40" s="954">
        <v>0.02</v>
      </c>
      <c r="F40" s="1411">
        <f>SUM(G40:L40)</f>
        <v>0</v>
      </c>
      <c r="G40" s="910">
        <f t="shared" ref="G40:L40" si="14">SUM(G285:G287)-SUM(G140:G142)</f>
        <v>0</v>
      </c>
      <c r="H40" s="910">
        <f t="shared" si="14"/>
        <v>0</v>
      </c>
      <c r="I40" s="910">
        <f t="shared" si="14"/>
        <v>0</v>
      </c>
      <c r="J40" s="910">
        <f t="shared" si="14"/>
        <v>0</v>
      </c>
      <c r="K40" s="910">
        <f t="shared" si="14"/>
        <v>0</v>
      </c>
      <c r="L40" s="911">
        <f t="shared" si="14"/>
        <v>0</v>
      </c>
    </row>
    <row r="41" spans="1:12">
      <c r="A41" s="2740"/>
      <c r="B41" s="2895" t="s">
        <v>2738</v>
      </c>
      <c r="C41" s="1415" t="s">
        <v>2739</v>
      </c>
      <c r="D41" s="962">
        <f>IF(OR($Y$2="下請け",$Y$2="下請"),0.6,1)</f>
        <v>1</v>
      </c>
      <c r="E41" s="963">
        <v>0</v>
      </c>
      <c r="F41" s="964">
        <f t="shared" ref="F41:F57" si="15">SUM(G41:L41)</f>
        <v>0</v>
      </c>
      <c r="G41" s="905">
        <v>0</v>
      </c>
      <c r="H41" s="905">
        <v>0</v>
      </c>
      <c r="I41" s="905">
        <v>0</v>
      </c>
      <c r="J41" s="905">
        <v>0</v>
      </c>
      <c r="K41" s="905">
        <v>0</v>
      </c>
      <c r="L41" s="906">
        <v>0</v>
      </c>
    </row>
    <row r="42" spans="1:12">
      <c r="A42" s="2740"/>
      <c r="B42" s="2896"/>
      <c r="C42" s="1415" t="s">
        <v>2740</v>
      </c>
      <c r="D42" s="962">
        <f>IF(OR($Y$2="下請け",$Y$2="下請"),0.6,1)</f>
        <v>1</v>
      </c>
      <c r="E42" s="963">
        <v>0</v>
      </c>
      <c r="F42" s="964">
        <f t="shared" si="15"/>
        <v>0</v>
      </c>
      <c r="G42" s="1390"/>
      <c r="H42" s="1390"/>
      <c r="I42" s="1390"/>
      <c r="J42" s="1390"/>
      <c r="K42" s="1390"/>
      <c r="L42" s="1391"/>
    </row>
    <row r="43" spans="1:12">
      <c r="A43" s="967"/>
      <c r="B43" s="2880" t="s">
        <v>2741</v>
      </c>
      <c r="C43" s="2881"/>
      <c r="D43" s="1416"/>
      <c r="E43" s="1417"/>
      <c r="F43" s="950">
        <f t="shared" si="15"/>
        <v>267123</v>
      </c>
      <c r="G43" s="910">
        <f t="shared" ref="G43:L43" si="16">G292-G147</f>
        <v>267123</v>
      </c>
      <c r="H43" s="910">
        <f t="shared" si="16"/>
        <v>0</v>
      </c>
      <c r="I43" s="910">
        <f t="shared" si="16"/>
        <v>0</v>
      </c>
      <c r="J43" s="910">
        <f t="shared" si="16"/>
        <v>0</v>
      </c>
      <c r="K43" s="910">
        <f t="shared" si="16"/>
        <v>0</v>
      </c>
      <c r="L43" s="911">
        <f t="shared" si="16"/>
        <v>0</v>
      </c>
    </row>
    <row r="44" spans="1:12">
      <c r="A44" s="967"/>
      <c r="B44" s="1418"/>
      <c r="C44" s="1419" t="s">
        <v>2566</v>
      </c>
      <c r="D44" s="1416"/>
      <c r="E44" s="1417"/>
      <c r="F44" s="950">
        <f t="shared" si="15"/>
        <v>0</v>
      </c>
      <c r="G44" s="910">
        <f t="shared" ref="G44:L44" si="17">IF(G$35=0,IF(G$8=G$65,G$43,0),0)</f>
        <v>0</v>
      </c>
      <c r="H44" s="910">
        <f t="shared" si="17"/>
        <v>0</v>
      </c>
      <c r="I44" s="910">
        <f t="shared" si="17"/>
        <v>0</v>
      </c>
      <c r="J44" s="910">
        <f t="shared" si="17"/>
        <v>0</v>
      </c>
      <c r="K44" s="910">
        <f t="shared" si="17"/>
        <v>0</v>
      </c>
      <c r="L44" s="911">
        <f t="shared" si="17"/>
        <v>0</v>
      </c>
    </row>
    <row r="45" spans="1:12">
      <c r="A45" s="967"/>
      <c r="B45" s="1418"/>
      <c r="C45" s="1419" t="s">
        <v>2567</v>
      </c>
      <c r="D45" s="1416"/>
      <c r="E45" s="1417"/>
      <c r="F45" s="950">
        <f t="shared" si="15"/>
        <v>2100000</v>
      </c>
      <c r="G45" s="1420">
        <f t="shared" ref="G45:L45" si="18">G35-(G32+G33)</f>
        <v>2100000</v>
      </c>
      <c r="H45" s="1420">
        <f t="shared" si="18"/>
        <v>0</v>
      </c>
      <c r="I45" s="1420">
        <f t="shared" si="18"/>
        <v>0</v>
      </c>
      <c r="J45" s="1420">
        <f t="shared" si="18"/>
        <v>0</v>
      </c>
      <c r="K45" s="1420">
        <f t="shared" si="18"/>
        <v>0</v>
      </c>
      <c r="L45" s="1420">
        <f t="shared" si="18"/>
        <v>0</v>
      </c>
    </row>
    <row r="46" spans="1:12">
      <c r="A46" s="967"/>
      <c r="B46" s="1418"/>
      <c r="C46" s="1419" t="s">
        <v>2568</v>
      </c>
      <c r="D46" s="1416"/>
      <c r="E46" s="1417"/>
      <c r="F46" s="950">
        <f>SUM(G46:N46)</f>
        <v>0</v>
      </c>
      <c r="G46" s="910">
        <f t="shared" ref="G46:L46" si="19">IF($F$44=0,0,IF(G44=0,INT(G45/$F45*$F44),0))</f>
        <v>0</v>
      </c>
      <c r="H46" s="910">
        <f t="shared" si="19"/>
        <v>0</v>
      </c>
      <c r="I46" s="910">
        <f t="shared" si="19"/>
        <v>0</v>
      </c>
      <c r="J46" s="910">
        <f t="shared" si="19"/>
        <v>0</v>
      </c>
      <c r="K46" s="910">
        <f t="shared" si="19"/>
        <v>0</v>
      </c>
      <c r="L46" s="910">
        <f t="shared" si="19"/>
        <v>0</v>
      </c>
    </row>
    <row r="47" spans="1:12">
      <c r="A47" s="967"/>
      <c r="B47" s="1418"/>
      <c r="C47" s="1419" t="s">
        <v>2569</v>
      </c>
      <c r="D47" s="1416"/>
      <c r="E47" s="1417"/>
      <c r="F47" s="950">
        <f>F44-F46</f>
        <v>0</v>
      </c>
      <c r="G47" s="910">
        <f>IF($F47=0,0,IF(G46=0,0,$F47))</f>
        <v>0</v>
      </c>
      <c r="H47" s="910">
        <f>IF($F47=0,0,IF(H46=0,0,IF(SUM($G47:G47)=0,$F47,0)))</f>
        <v>0</v>
      </c>
      <c r="I47" s="910">
        <f>IF($F47=0,0,IF(I46=0,0,IF(SUM($G47:H47)=0,$F47,0)))</f>
        <v>0</v>
      </c>
      <c r="J47" s="910">
        <f>IF($F47=0,0,IF(J46=0,0,IF(SUM($G47:I47)=0,$F47,0)))</f>
        <v>0</v>
      </c>
      <c r="K47" s="910">
        <f>IF($F47=0,0,IF(K46=0,0,IF(SUM($G47:J47)=0,$F47,0)))</f>
        <v>0</v>
      </c>
      <c r="L47" s="911">
        <f>IF($F47=0,0,IF(L46=0,0,IF(SUM($G47:K47)=0,$F47,0)))</f>
        <v>0</v>
      </c>
    </row>
    <row r="48" spans="1:12">
      <c r="A48" s="967"/>
      <c r="B48" s="2901" t="s">
        <v>2742</v>
      </c>
      <c r="C48" s="2902"/>
      <c r="D48" s="1421"/>
      <c r="E48" s="1422"/>
      <c r="F48" s="1423">
        <f>SUM(G48:N48)</f>
        <v>267123</v>
      </c>
      <c r="G48" s="1424">
        <f t="shared" ref="G48:L48" si="20">IF(G42=0,IF(G35=0,IF(G8=G65,0,G43+G46+G47),G43+G46+G47),G42)</f>
        <v>267123</v>
      </c>
      <c r="H48" s="1424">
        <f t="shared" si="20"/>
        <v>0</v>
      </c>
      <c r="I48" s="1424">
        <f t="shared" si="20"/>
        <v>0</v>
      </c>
      <c r="J48" s="1424">
        <f t="shared" si="20"/>
        <v>0</v>
      </c>
      <c r="K48" s="1424">
        <f t="shared" si="20"/>
        <v>0</v>
      </c>
      <c r="L48" s="1425">
        <f t="shared" si="20"/>
        <v>0</v>
      </c>
    </row>
    <row r="49" spans="1:12">
      <c r="A49" s="976" t="s">
        <v>2571</v>
      </c>
      <c r="B49" s="1426"/>
      <c r="C49" s="1427"/>
      <c r="D49" s="1370"/>
      <c r="E49" s="1428" t="s">
        <v>2743</v>
      </c>
      <c r="F49" s="980">
        <f t="shared" si="15"/>
        <v>2090631</v>
      </c>
      <c r="G49" s="1429">
        <f t="shared" ref="G49:L49" si="21">+G298-G153</f>
        <v>2090631</v>
      </c>
      <c r="H49" s="1429">
        <f t="shared" si="21"/>
        <v>0</v>
      </c>
      <c r="I49" s="1429">
        <f t="shared" si="21"/>
        <v>0</v>
      </c>
      <c r="J49" s="1429">
        <f t="shared" si="21"/>
        <v>0</v>
      </c>
      <c r="K49" s="1429">
        <f t="shared" si="21"/>
        <v>0</v>
      </c>
      <c r="L49" s="1430">
        <f t="shared" si="21"/>
        <v>0</v>
      </c>
    </row>
    <row r="50" spans="1:12">
      <c r="A50" s="982"/>
      <c r="B50" s="2903" t="s">
        <v>2571</v>
      </c>
      <c r="C50" s="2904"/>
      <c r="D50" s="1431"/>
      <c r="E50" s="1432"/>
      <c r="F50" s="980">
        <f t="shared" si="15"/>
        <v>272506</v>
      </c>
      <c r="G50" s="981">
        <f t="shared" ref="G50:L50" si="22">G322-G177</f>
        <v>272506</v>
      </c>
      <c r="H50" s="981">
        <f t="shared" si="22"/>
        <v>0</v>
      </c>
      <c r="I50" s="981">
        <f t="shared" si="22"/>
        <v>0</v>
      </c>
      <c r="J50" s="981">
        <f t="shared" si="22"/>
        <v>0</v>
      </c>
      <c r="K50" s="981">
        <f t="shared" si="22"/>
        <v>0</v>
      </c>
      <c r="L50" s="1433">
        <f t="shared" si="22"/>
        <v>0</v>
      </c>
    </row>
    <row r="51" spans="1:12">
      <c r="A51" s="982"/>
      <c r="B51" s="1434"/>
      <c r="C51" s="1435" t="s">
        <v>2566</v>
      </c>
      <c r="D51" s="1436"/>
      <c r="E51" s="1437"/>
      <c r="F51" s="1015">
        <f>SUM(G51:L51)</f>
        <v>0</v>
      </c>
      <c r="G51" s="1016">
        <f t="shared" ref="G51:L51" si="23">IF(G35=0,IF(G8=G65,G50,0),0)</f>
        <v>0</v>
      </c>
      <c r="H51" s="1016">
        <f t="shared" si="23"/>
        <v>0</v>
      </c>
      <c r="I51" s="1016">
        <f t="shared" si="23"/>
        <v>0</v>
      </c>
      <c r="J51" s="1016">
        <f t="shared" si="23"/>
        <v>0</v>
      </c>
      <c r="K51" s="1016">
        <f t="shared" si="23"/>
        <v>0</v>
      </c>
      <c r="L51" s="1017">
        <f t="shared" si="23"/>
        <v>0</v>
      </c>
    </row>
    <row r="52" spans="1:12">
      <c r="A52" s="982"/>
      <c r="B52" s="1438"/>
      <c r="C52" s="1439" t="s">
        <v>2575</v>
      </c>
      <c r="D52" s="948"/>
      <c r="E52" s="949"/>
      <c r="F52" s="1440">
        <f>SUM(G52:L52)</f>
        <v>2090631</v>
      </c>
      <c r="G52" s="1441">
        <f t="shared" ref="G52:L52" si="24">+G49</f>
        <v>2090631</v>
      </c>
      <c r="H52" s="1441">
        <f t="shared" si="24"/>
        <v>0</v>
      </c>
      <c r="I52" s="1441">
        <f t="shared" si="24"/>
        <v>0</v>
      </c>
      <c r="J52" s="1441">
        <f t="shared" si="24"/>
        <v>0</v>
      </c>
      <c r="K52" s="1441">
        <f t="shared" si="24"/>
        <v>0</v>
      </c>
      <c r="L52" s="1442">
        <f t="shared" si="24"/>
        <v>0</v>
      </c>
    </row>
    <row r="53" spans="1:12">
      <c r="A53" s="982"/>
      <c r="B53" s="1438"/>
      <c r="C53" s="1439" t="s">
        <v>2576</v>
      </c>
      <c r="D53" s="948"/>
      <c r="E53" s="949"/>
      <c r="F53" s="1440">
        <f>SUM(G53:L53)</f>
        <v>0</v>
      </c>
      <c r="G53" s="1441">
        <f t="shared" ref="G53:L53" si="25">IF($F$51=0,0,INT(G52/$F52*$F51))</f>
        <v>0</v>
      </c>
      <c r="H53" s="1441">
        <f t="shared" si="25"/>
        <v>0</v>
      </c>
      <c r="I53" s="1441">
        <f t="shared" si="25"/>
        <v>0</v>
      </c>
      <c r="J53" s="1441">
        <f t="shared" si="25"/>
        <v>0</v>
      </c>
      <c r="K53" s="1441">
        <f t="shared" si="25"/>
        <v>0</v>
      </c>
      <c r="L53" s="1441">
        <f t="shared" si="25"/>
        <v>0</v>
      </c>
    </row>
    <row r="54" spans="1:12">
      <c r="A54" s="982"/>
      <c r="B54" s="1438"/>
      <c r="C54" s="1439" t="s">
        <v>2577</v>
      </c>
      <c r="D54" s="948"/>
      <c r="E54" s="949"/>
      <c r="F54" s="1440">
        <f>F51-F53</f>
        <v>0</v>
      </c>
      <c r="G54" s="1441">
        <f>IF($F54=0,0,IF(G53=0,0,$F54))</f>
        <v>0</v>
      </c>
      <c r="H54" s="1441">
        <f>IF($F54=0,0,IF(H53=0,0,IF(SUM($G54:G54)=0,$F54,0)))</f>
        <v>0</v>
      </c>
      <c r="I54" s="1441">
        <f>IF($F54=0,0,IF(I53=0,0,IF(SUM($G54:H54)=0,$F54,0)))</f>
        <v>0</v>
      </c>
      <c r="J54" s="1441">
        <f>IF($F54=0,0,IF(J53=0,0,IF(SUM($G54:I54)=0,$F54,0)))</f>
        <v>0</v>
      </c>
      <c r="K54" s="1441">
        <f>IF($F54=0,0,IF(K53=0,0,IF(SUM($G54:J54)=0,$F54,0)))</f>
        <v>0</v>
      </c>
      <c r="L54" s="1442">
        <f>IF($F54=0,0,IF(L53=0,0,IF(SUM($G54:K54)=0,$F54,0)))</f>
        <v>0</v>
      </c>
    </row>
    <row r="55" spans="1:12">
      <c r="A55" s="982"/>
      <c r="B55" s="2905" t="s">
        <v>2578</v>
      </c>
      <c r="C55" s="2906"/>
      <c r="D55" s="1443"/>
      <c r="E55" s="1444"/>
      <c r="F55" s="1020">
        <f>SUM(G55:L55)</f>
        <v>272506</v>
      </c>
      <c r="G55" s="1021">
        <f t="shared" ref="G55:L55" si="26">IF(G35=0,IF(G8=G65,0,G50+G53+G54),G50+G53+G54)</f>
        <v>272506</v>
      </c>
      <c r="H55" s="1021">
        <f t="shared" si="26"/>
        <v>0</v>
      </c>
      <c r="I55" s="1021">
        <f t="shared" si="26"/>
        <v>0</v>
      </c>
      <c r="J55" s="1021">
        <f t="shared" si="26"/>
        <v>0</v>
      </c>
      <c r="K55" s="1021">
        <f t="shared" si="26"/>
        <v>0</v>
      </c>
      <c r="L55" s="1022">
        <f t="shared" si="26"/>
        <v>0</v>
      </c>
    </row>
    <row r="56" spans="1:12" ht="15" thickBot="1">
      <c r="A56" s="1000" t="s">
        <v>394</v>
      </c>
      <c r="B56" s="1001"/>
      <c r="C56" s="1002"/>
      <c r="D56" s="1003"/>
      <c r="E56" s="1004"/>
      <c r="F56" s="1005">
        <f t="shared" si="15"/>
        <v>2363137</v>
      </c>
      <c r="G56" s="1445">
        <f t="shared" ref="G56:L56" si="27">G48+G55+G36</f>
        <v>2363137</v>
      </c>
      <c r="H56" s="1006">
        <f t="shared" si="27"/>
        <v>0</v>
      </c>
      <c r="I56" s="1006">
        <f t="shared" si="27"/>
        <v>0</v>
      </c>
      <c r="J56" s="1006">
        <f t="shared" si="27"/>
        <v>0</v>
      </c>
      <c r="K56" s="1006">
        <f t="shared" si="27"/>
        <v>0</v>
      </c>
      <c r="L56" s="1446">
        <f t="shared" si="27"/>
        <v>0</v>
      </c>
    </row>
    <row r="57" spans="1:12" ht="15" thickTop="1">
      <c r="A57" s="1007" t="s">
        <v>234</v>
      </c>
      <c r="B57" s="1008"/>
      <c r="C57" s="1008"/>
      <c r="D57" s="1008"/>
      <c r="E57" s="1009" t="s">
        <v>2580</v>
      </c>
      <c r="F57" s="1010">
        <f t="shared" si="15"/>
        <v>2363000</v>
      </c>
      <c r="G57" s="1011">
        <f t="shared" ref="G57:L57" si="28">IF(G56&lt;0,ROUNDUP(G56,-3),ROUNDDOWN(G56,-3))</f>
        <v>2363000</v>
      </c>
      <c r="H57" s="1011">
        <f t="shared" si="28"/>
        <v>0</v>
      </c>
      <c r="I57" s="1011">
        <f t="shared" si="28"/>
        <v>0</v>
      </c>
      <c r="J57" s="1011">
        <f t="shared" si="28"/>
        <v>0</v>
      </c>
      <c r="K57" s="1011">
        <f t="shared" si="28"/>
        <v>0</v>
      </c>
      <c r="L57" s="1447">
        <f t="shared" si="28"/>
        <v>0</v>
      </c>
    </row>
    <row r="58" spans="1:12">
      <c r="A58" s="1013"/>
      <c r="B58" s="2907" t="s">
        <v>2581</v>
      </c>
      <c r="C58" s="1014" t="s">
        <v>2744</v>
      </c>
      <c r="D58" s="1014"/>
      <c r="E58" s="1014"/>
      <c r="F58" s="1015">
        <f>SUM(G58:L58)</f>
        <v>1823508</v>
      </c>
      <c r="G58" s="1016">
        <f t="shared" ref="G58:L58" si="29">+G216-G71</f>
        <v>1823508</v>
      </c>
      <c r="H58" s="1016">
        <f t="shared" si="29"/>
        <v>0</v>
      </c>
      <c r="I58" s="1016">
        <f t="shared" si="29"/>
        <v>0</v>
      </c>
      <c r="J58" s="1016">
        <f t="shared" si="29"/>
        <v>0</v>
      </c>
      <c r="K58" s="1016">
        <f t="shared" si="29"/>
        <v>0</v>
      </c>
      <c r="L58" s="1017">
        <f t="shared" si="29"/>
        <v>0</v>
      </c>
    </row>
    <row r="59" spans="1:12" ht="15" thickBot="1">
      <c r="A59" s="1018"/>
      <c r="B59" s="2908"/>
      <c r="C59" s="1019" t="s">
        <v>2583</v>
      </c>
      <c r="D59" s="1019"/>
      <c r="E59" s="1019"/>
      <c r="F59" s="1020">
        <f>SUM(G59:L59)</f>
        <v>539492</v>
      </c>
      <c r="G59" s="1021">
        <f t="shared" ref="G59:L59" si="30">+G57-G58</f>
        <v>539492</v>
      </c>
      <c r="H59" s="1021">
        <f t="shared" si="30"/>
        <v>0</v>
      </c>
      <c r="I59" s="1021">
        <f t="shared" si="30"/>
        <v>0</v>
      </c>
      <c r="J59" s="1021">
        <f t="shared" si="30"/>
        <v>0</v>
      </c>
      <c r="K59" s="1021">
        <f t="shared" si="30"/>
        <v>0</v>
      </c>
      <c r="L59" s="1022">
        <f t="shared" si="30"/>
        <v>0</v>
      </c>
    </row>
    <row r="60" spans="1:12" ht="15" thickTop="1">
      <c r="A60" s="1007" t="s">
        <v>2584</v>
      </c>
      <c r="B60" s="1008"/>
      <c r="C60" s="1008"/>
      <c r="D60" s="1008"/>
      <c r="E60" s="1009" t="s">
        <v>2580</v>
      </c>
      <c r="F60" s="1010">
        <f>SUM(G60:L60)</f>
        <v>0</v>
      </c>
      <c r="G60" s="1011">
        <f t="shared" ref="G60:L60" si="31">IF(G56&lt;0,ROUNDUP(G56*$G$2,-3),ROUNDDOWN(G56*$G$2,-3))</f>
        <v>0</v>
      </c>
      <c r="H60" s="1011">
        <f t="shared" si="31"/>
        <v>0</v>
      </c>
      <c r="I60" s="1011">
        <f t="shared" si="31"/>
        <v>0</v>
      </c>
      <c r="J60" s="1011">
        <f t="shared" si="31"/>
        <v>0</v>
      </c>
      <c r="K60" s="1011">
        <f t="shared" si="31"/>
        <v>0</v>
      </c>
      <c r="L60" s="1011">
        <f t="shared" si="31"/>
        <v>0</v>
      </c>
    </row>
    <row r="61" spans="1:12">
      <c r="A61" s="1013"/>
      <c r="B61" s="2907" t="s">
        <v>2581</v>
      </c>
      <c r="C61" s="1014" t="s">
        <v>2744</v>
      </c>
      <c r="D61" s="1014"/>
      <c r="E61" s="1014"/>
      <c r="F61" s="1015">
        <f>SUM(G61:L61)</f>
        <v>0</v>
      </c>
      <c r="G61" s="1016">
        <f t="shared" ref="G61:L61" si="32">IF(G58&lt;0,ROUNDDOWN(G58*$G$2,0),ROUNDUP(G58*$G$2,0))</f>
        <v>0</v>
      </c>
      <c r="H61" s="1016">
        <f t="shared" si="32"/>
        <v>0</v>
      </c>
      <c r="I61" s="1016">
        <f t="shared" si="32"/>
        <v>0</v>
      </c>
      <c r="J61" s="1016">
        <f t="shared" si="32"/>
        <v>0</v>
      </c>
      <c r="K61" s="1016">
        <f t="shared" si="32"/>
        <v>0</v>
      </c>
      <c r="L61" s="1016">
        <f t="shared" si="32"/>
        <v>0</v>
      </c>
    </row>
    <row r="62" spans="1:12">
      <c r="A62" s="1018"/>
      <c r="B62" s="2909"/>
      <c r="C62" s="1019" t="s">
        <v>2583</v>
      </c>
      <c r="D62" s="1019"/>
      <c r="E62" s="1019"/>
      <c r="F62" s="1020">
        <f>SUM(G62:L62)</f>
        <v>0</v>
      </c>
      <c r="G62" s="1021">
        <f t="shared" ref="G62:L62" si="33">+G60-G61</f>
        <v>0</v>
      </c>
      <c r="H62" s="1021">
        <f t="shared" si="33"/>
        <v>0</v>
      </c>
      <c r="I62" s="1021">
        <f t="shared" si="33"/>
        <v>0</v>
      </c>
      <c r="J62" s="1021">
        <f t="shared" si="33"/>
        <v>0</v>
      </c>
      <c r="K62" s="1021">
        <f t="shared" si="33"/>
        <v>0</v>
      </c>
      <c r="L62" s="1022">
        <f t="shared" si="33"/>
        <v>0</v>
      </c>
    </row>
    <row r="63" spans="1:12" s="1278" customFormat="1" ht="13.5" customHeight="1">
      <c r="A63" s="1034"/>
      <c r="B63" s="1034"/>
      <c r="C63" s="1033"/>
      <c r="D63" s="1033"/>
      <c r="E63" s="1448" t="s">
        <v>2501</v>
      </c>
      <c r="F63" s="1449">
        <f>+F1</f>
        <v>0</v>
      </c>
      <c r="G63" s="1450"/>
      <c r="H63" s="1450"/>
      <c r="I63" s="1037"/>
      <c r="J63" s="1037"/>
      <c r="K63" s="837"/>
      <c r="L63" s="1091" t="s">
        <v>2745</v>
      </c>
    </row>
    <row r="64" spans="1:12" s="1278" customFormat="1" ht="13.5" customHeight="1">
      <c r="A64" s="1034"/>
      <c r="B64" s="1034"/>
      <c r="C64" s="1451" t="s">
        <v>2746</v>
      </c>
      <c r="D64" s="804"/>
      <c r="E64" s="1033"/>
      <c r="F64" s="1033"/>
      <c r="G64" s="1091"/>
      <c r="H64" s="1037"/>
      <c r="I64" s="1037"/>
      <c r="J64" s="1037"/>
      <c r="K64" s="1034" t="s">
        <v>2747</v>
      </c>
      <c r="L64" s="1452" t="s">
        <v>2748</v>
      </c>
    </row>
    <row r="65" spans="1:12" s="1278" customFormat="1" ht="13.5" customHeight="1">
      <c r="A65" s="1453"/>
      <c r="B65" s="1454"/>
      <c r="C65" s="872" t="s">
        <v>2510</v>
      </c>
      <c r="D65" s="873"/>
      <c r="E65" s="874"/>
      <c r="F65" s="875" t="s">
        <v>2588</v>
      </c>
      <c r="G65" s="1455">
        <v>3.5</v>
      </c>
      <c r="H65" s="1455"/>
      <c r="I65" s="1455"/>
      <c r="J65" s="1455"/>
      <c r="K65" s="1455"/>
      <c r="L65" s="1456"/>
    </row>
    <row r="66" spans="1:12" s="1278" customFormat="1" ht="13.5" customHeight="1">
      <c r="A66" s="1338"/>
      <c r="B66" s="1457"/>
      <c r="C66" s="1457" t="s">
        <v>2749</v>
      </c>
      <c r="D66" s="1457"/>
      <c r="E66" s="1458" t="s">
        <v>2596</v>
      </c>
      <c r="F66" s="1459" t="s">
        <v>2505</v>
      </c>
      <c r="G66" s="1460" t="str">
        <f t="shared" ref="G66:L66" si="34">+G3</f>
        <v>●●工事</v>
      </c>
      <c r="H66" s="1460">
        <f t="shared" si="34"/>
        <v>0</v>
      </c>
      <c r="I66" s="1460">
        <f t="shared" si="34"/>
        <v>0</v>
      </c>
      <c r="J66" s="1460">
        <f t="shared" si="34"/>
        <v>0</v>
      </c>
      <c r="K66" s="1460">
        <f t="shared" si="34"/>
        <v>0</v>
      </c>
      <c r="L66" s="1461">
        <f t="shared" si="34"/>
        <v>0</v>
      </c>
    </row>
    <row r="67" spans="1:12" s="1278" customFormat="1" ht="13.5" customHeight="1">
      <c r="A67" s="1345"/>
      <c r="B67" s="1462"/>
      <c r="C67" s="1462" t="s">
        <v>2592</v>
      </c>
      <c r="D67" s="1462"/>
      <c r="E67" s="1463" t="s">
        <v>2591</v>
      </c>
      <c r="F67" s="1464" t="s">
        <v>2593</v>
      </c>
      <c r="G67" s="1465"/>
      <c r="H67" s="1465"/>
      <c r="I67" s="1465"/>
      <c r="J67" s="1465"/>
      <c r="K67" s="1465"/>
      <c r="L67" s="1466"/>
    </row>
    <row r="68" spans="1:12" s="1278" customFormat="1" ht="13.5" customHeight="1">
      <c r="A68" s="1338"/>
      <c r="B68" s="1467" t="s">
        <v>2721</v>
      </c>
      <c r="C68" s="1468"/>
      <c r="D68" s="1468"/>
      <c r="E68" s="1469"/>
      <c r="F68" s="1470">
        <f>SUM(G68:L68)</f>
        <v>5000000</v>
      </c>
      <c r="G68" s="1471">
        <v>5000000</v>
      </c>
      <c r="H68" s="1471"/>
      <c r="I68" s="1471"/>
      <c r="J68" s="1471"/>
      <c r="K68" s="1471"/>
      <c r="L68" s="1472"/>
    </row>
    <row r="69" spans="1:12" s="1278" customFormat="1" ht="13.5" customHeight="1">
      <c r="A69" s="1345"/>
      <c r="B69" s="1473" t="s">
        <v>2750</v>
      </c>
      <c r="C69" s="1340"/>
      <c r="D69" s="1340"/>
      <c r="E69" s="1341"/>
      <c r="F69" s="1342">
        <f>SUM(G69:L69)</f>
        <v>1000000</v>
      </c>
      <c r="G69" s="1474">
        <v>1000000</v>
      </c>
      <c r="H69" s="1474"/>
      <c r="I69" s="1474"/>
      <c r="J69" s="1474"/>
      <c r="K69" s="1474"/>
      <c r="L69" s="1475"/>
    </row>
    <row r="70" spans="1:12" s="1278" customFormat="1" ht="13.5" customHeight="1">
      <c r="A70" s="1345"/>
      <c r="B70" s="1473"/>
      <c r="C70" s="1476" t="s">
        <v>2723</v>
      </c>
      <c r="D70" s="1476"/>
      <c r="E70" s="1477"/>
      <c r="F70" s="1478">
        <f>SUM(G70:L70)</f>
        <v>500000</v>
      </c>
      <c r="G70" s="1479">
        <v>500000</v>
      </c>
      <c r="H70" s="1479"/>
      <c r="I70" s="1479"/>
      <c r="J70" s="1479"/>
      <c r="K70" s="1479"/>
      <c r="L70" s="1480"/>
    </row>
    <row r="71" spans="1:12" s="1278" customFormat="1" ht="13.5" customHeight="1">
      <c r="A71" s="1338"/>
      <c r="B71" s="1481" t="s">
        <v>2751</v>
      </c>
      <c r="C71" s="1482"/>
      <c r="D71" s="1482"/>
      <c r="E71" s="1483"/>
      <c r="F71" s="1470">
        <f>SUM(G71:L71)</f>
        <v>5078688</v>
      </c>
      <c r="G71" s="898">
        <f t="shared" ref="G71:L71" si="35">SUM(G113:G126)</f>
        <v>5078688</v>
      </c>
      <c r="H71" s="898">
        <f t="shared" si="35"/>
        <v>0</v>
      </c>
      <c r="I71" s="898">
        <f t="shared" si="35"/>
        <v>0</v>
      </c>
      <c r="J71" s="898">
        <f t="shared" si="35"/>
        <v>0</v>
      </c>
      <c r="K71" s="898">
        <f t="shared" si="35"/>
        <v>0</v>
      </c>
      <c r="L71" s="899">
        <f t="shared" si="35"/>
        <v>0</v>
      </c>
    </row>
    <row r="72" spans="1:12" s="1278" customFormat="1" ht="13.5" customHeight="1">
      <c r="A72" s="1345"/>
      <c r="B72" s="1462"/>
      <c r="C72" s="1484" t="s">
        <v>2752</v>
      </c>
      <c r="D72" s="1485"/>
      <c r="E72" s="1486"/>
      <c r="F72" s="1342">
        <f>SUM(G72:L72)</f>
        <v>4178688</v>
      </c>
      <c r="G72" s="1487">
        <f t="shared" ref="G72:L72" si="36">G71-G75</f>
        <v>4178688</v>
      </c>
      <c r="H72" s="1487">
        <f t="shared" si="36"/>
        <v>0</v>
      </c>
      <c r="I72" s="1487">
        <f t="shared" si="36"/>
        <v>0</v>
      </c>
      <c r="J72" s="1487">
        <f t="shared" si="36"/>
        <v>0</v>
      </c>
      <c r="K72" s="1487">
        <f t="shared" si="36"/>
        <v>0</v>
      </c>
      <c r="L72" s="1488">
        <f t="shared" si="36"/>
        <v>0</v>
      </c>
    </row>
    <row r="73" spans="1:12" s="1278" customFormat="1" ht="13.5" customHeight="1">
      <c r="A73" s="1345"/>
      <c r="B73" s="1462"/>
      <c r="C73" s="1489"/>
      <c r="D73" s="1489"/>
      <c r="E73" s="1490"/>
      <c r="F73" s="1349" t="s">
        <v>2753</v>
      </c>
      <c r="G73" s="1491">
        <f t="shared" ref="G73:L73" si="37">SUM(G115:G126)</f>
        <v>4078688</v>
      </c>
      <c r="H73" s="1491">
        <f t="shared" si="37"/>
        <v>0</v>
      </c>
      <c r="I73" s="1491">
        <f t="shared" si="37"/>
        <v>0</v>
      </c>
      <c r="J73" s="1491">
        <f t="shared" si="37"/>
        <v>0</v>
      </c>
      <c r="K73" s="1491">
        <f t="shared" si="37"/>
        <v>0</v>
      </c>
      <c r="L73" s="1492">
        <f t="shared" si="37"/>
        <v>0</v>
      </c>
    </row>
    <row r="74" spans="1:12" s="1278" customFormat="1" ht="13.5" customHeight="1">
      <c r="A74" s="1345"/>
      <c r="B74" s="1462"/>
      <c r="C74" s="1489"/>
      <c r="D74" s="1489"/>
      <c r="E74" s="1490"/>
      <c r="F74" s="1349" t="s">
        <v>2599</v>
      </c>
      <c r="G74" s="1491">
        <f t="shared" ref="G74:L74" si="38">SUM(G115:G122,G107)</f>
        <v>4078688</v>
      </c>
      <c r="H74" s="1491">
        <f t="shared" si="38"/>
        <v>0</v>
      </c>
      <c r="I74" s="1491">
        <f t="shared" si="38"/>
        <v>0</v>
      </c>
      <c r="J74" s="1491">
        <f t="shared" si="38"/>
        <v>0</v>
      </c>
      <c r="K74" s="1491">
        <f t="shared" si="38"/>
        <v>0</v>
      </c>
      <c r="L74" s="1492">
        <f t="shared" si="38"/>
        <v>0</v>
      </c>
    </row>
    <row r="75" spans="1:12" s="1278" customFormat="1" ht="13.5" customHeight="1">
      <c r="A75" s="1493"/>
      <c r="B75" s="1476"/>
      <c r="C75" s="1494" t="s">
        <v>2754</v>
      </c>
      <c r="D75" s="1494"/>
      <c r="E75" s="1495"/>
      <c r="F75" s="1355">
        <f>SUM(G75:L75)</f>
        <v>900000</v>
      </c>
      <c r="G75" s="1064">
        <f t="shared" ref="G75:L75" si="39">+G115+G102+G104+G107+G106+G70</f>
        <v>900000</v>
      </c>
      <c r="H75" s="1064">
        <f t="shared" si="39"/>
        <v>0</v>
      </c>
      <c r="I75" s="1064">
        <f t="shared" si="39"/>
        <v>0</v>
      </c>
      <c r="J75" s="1064">
        <f t="shared" si="39"/>
        <v>0</v>
      </c>
      <c r="K75" s="1064">
        <f t="shared" si="39"/>
        <v>0</v>
      </c>
      <c r="L75" s="1064">
        <f t="shared" si="39"/>
        <v>0</v>
      </c>
    </row>
    <row r="76" spans="1:12" s="1278" customFormat="1" ht="13.5" customHeight="1">
      <c r="A76" s="1345"/>
      <c r="B76" s="1496" t="s">
        <v>2755</v>
      </c>
      <c r="C76" s="1496"/>
      <c r="D76" s="1496"/>
      <c r="E76" s="1497"/>
      <c r="F76" s="1498">
        <f t="shared" ref="F76:F82" si="40">SUM(G76:L76)</f>
        <v>1394312</v>
      </c>
      <c r="G76" s="1499">
        <f t="shared" ref="G76:L76" si="41">G77+G80</f>
        <v>1394312</v>
      </c>
      <c r="H76" s="1499">
        <f t="shared" si="41"/>
        <v>0</v>
      </c>
      <c r="I76" s="1499">
        <f t="shared" si="41"/>
        <v>0</v>
      </c>
      <c r="J76" s="1499">
        <f t="shared" si="41"/>
        <v>0</v>
      </c>
      <c r="K76" s="1499">
        <f t="shared" si="41"/>
        <v>0</v>
      </c>
      <c r="L76" s="1500">
        <f t="shared" si="41"/>
        <v>0</v>
      </c>
    </row>
    <row r="77" spans="1:12" s="1278" customFormat="1" ht="13.5" customHeight="1">
      <c r="A77" s="1345"/>
      <c r="B77" s="1462"/>
      <c r="C77" s="1501" t="s">
        <v>2603</v>
      </c>
      <c r="D77" s="1501"/>
      <c r="E77" s="1502"/>
      <c r="F77" s="1342">
        <f>SUM(G77:L77)</f>
        <v>686756</v>
      </c>
      <c r="G77" s="1487">
        <f t="shared" ref="G77:L77" si="42">SUM(G78:G79)</f>
        <v>686756</v>
      </c>
      <c r="H77" s="1487">
        <f t="shared" si="42"/>
        <v>0</v>
      </c>
      <c r="I77" s="1487">
        <f t="shared" si="42"/>
        <v>0</v>
      </c>
      <c r="J77" s="1487">
        <f t="shared" si="42"/>
        <v>0</v>
      </c>
      <c r="K77" s="1487">
        <f t="shared" si="42"/>
        <v>0</v>
      </c>
      <c r="L77" s="1488">
        <f t="shared" si="42"/>
        <v>0</v>
      </c>
    </row>
    <row r="78" spans="1:12" s="1278" customFormat="1" ht="13.5" customHeight="1">
      <c r="A78" s="1345"/>
      <c r="B78" s="1462"/>
      <c r="C78" s="1347" t="s">
        <v>2605</v>
      </c>
      <c r="D78" s="1347"/>
      <c r="E78" s="1490"/>
      <c r="F78" s="1349">
        <f t="shared" si="40"/>
        <v>226100</v>
      </c>
      <c r="G78" s="1491">
        <f t="shared" ref="G78:L78" si="43">+G129+G131</f>
        <v>226100</v>
      </c>
      <c r="H78" s="1491">
        <f t="shared" si="43"/>
        <v>0</v>
      </c>
      <c r="I78" s="1491">
        <f t="shared" si="43"/>
        <v>0</v>
      </c>
      <c r="J78" s="1491">
        <f t="shared" si="43"/>
        <v>0</v>
      </c>
      <c r="K78" s="1491">
        <f t="shared" si="43"/>
        <v>0</v>
      </c>
      <c r="L78" s="1491">
        <f t="shared" si="43"/>
        <v>0</v>
      </c>
    </row>
    <row r="79" spans="1:12" s="1278" customFormat="1" ht="13.5" customHeight="1">
      <c r="A79" s="1345"/>
      <c r="B79" s="1462"/>
      <c r="C79" s="1347" t="s">
        <v>2610</v>
      </c>
      <c r="D79" s="1347"/>
      <c r="E79" s="1490"/>
      <c r="F79" s="1349">
        <f t="shared" si="40"/>
        <v>460656</v>
      </c>
      <c r="G79" s="1491">
        <f>SUM(G132:G146)</f>
        <v>460656</v>
      </c>
      <c r="H79" s="1491">
        <f>SUM(H132:H145)</f>
        <v>0</v>
      </c>
      <c r="I79" s="1491">
        <f>SUM(I132:I145)</f>
        <v>0</v>
      </c>
      <c r="J79" s="1491">
        <f>SUM(J132:J145)</f>
        <v>0</v>
      </c>
      <c r="K79" s="1491">
        <f>SUM(K132:K145)</f>
        <v>0</v>
      </c>
      <c r="L79" s="1492">
        <f>SUM(L132:L145)</f>
        <v>0</v>
      </c>
    </row>
    <row r="80" spans="1:12" s="1510" customFormat="1" ht="13.5" customHeight="1">
      <c r="A80" s="1503"/>
      <c r="B80" s="1504"/>
      <c r="C80" s="1505" t="s">
        <v>2608</v>
      </c>
      <c r="D80" s="1505"/>
      <c r="E80" s="1506"/>
      <c r="F80" s="1507">
        <f>SUM(G80:L80)</f>
        <v>707556</v>
      </c>
      <c r="G80" s="1508">
        <f t="shared" ref="G80:L80" si="44">SUM(G81:G83)</f>
        <v>707556</v>
      </c>
      <c r="H80" s="1508">
        <f t="shared" si="44"/>
        <v>0</v>
      </c>
      <c r="I80" s="1508">
        <f t="shared" si="44"/>
        <v>0</v>
      </c>
      <c r="J80" s="1508">
        <f t="shared" si="44"/>
        <v>0</v>
      </c>
      <c r="K80" s="1508">
        <f t="shared" si="44"/>
        <v>0</v>
      </c>
      <c r="L80" s="1509">
        <f t="shared" si="44"/>
        <v>0</v>
      </c>
    </row>
    <row r="81" spans="1:12" s="1510" customFormat="1" ht="13.5" customHeight="1">
      <c r="A81" s="1503"/>
      <c r="B81" s="1504"/>
      <c r="C81" s="1511" t="s">
        <v>2605</v>
      </c>
      <c r="D81" s="1511"/>
      <c r="E81" s="1506"/>
      <c r="F81" s="1507">
        <f t="shared" si="40"/>
        <v>210993</v>
      </c>
      <c r="G81" s="1508">
        <f t="shared" ref="G81:L81" si="45">+G168-G183</f>
        <v>210993</v>
      </c>
      <c r="H81" s="1508">
        <f t="shared" si="45"/>
        <v>0</v>
      </c>
      <c r="I81" s="1508">
        <f t="shared" si="45"/>
        <v>0</v>
      </c>
      <c r="J81" s="1508">
        <f t="shared" si="45"/>
        <v>0</v>
      </c>
      <c r="K81" s="1508">
        <f t="shared" si="45"/>
        <v>0</v>
      </c>
      <c r="L81" s="1509">
        <f t="shared" si="45"/>
        <v>0</v>
      </c>
    </row>
    <row r="82" spans="1:12" s="1510" customFormat="1" ht="13.5" customHeight="1">
      <c r="A82" s="1503"/>
      <c r="B82" s="1504"/>
      <c r="C82" s="1511" t="s">
        <v>2609</v>
      </c>
      <c r="D82" s="1511"/>
      <c r="E82" s="1506"/>
      <c r="F82" s="1507">
        <f t="shared" si="40"/>
        <v>35907</v>
      </c>
      <c r="G82" s="1508">
        <f t="shared" ref="G82:L82" si="46">+G169+G170</f>
        <v>35907</v>
      </c>
      <c r="H82" s="1508">
        <f t="shared" si="46"/>
        <v>0</v>
      </c>
      <c r="I82" s="1508">
        <f t="shared" si="46"/>
        <v>0</v>
      </c>
      <c r="J82" s="1508">
        <f t="shared" si="46"/>
        <v>0</v>
      </c>
      <c r="K82" s="1508">
        <f t="shared" si="46"/>
        <v>0</v>
      </c>
      <c r="L82" s="1509">
        <f t="shared" si="46"/>
        <v>0</v>
      </c>
    </row>
    <row r="83" spans="1:12" s="1510" customFormat="1" ht="13.5" customHeight="1">
      <c r="A83" s="1503"/>
      <c r="B83" s="1512"/>
      <c r="C83" s="1513" t="s">
        <v>2610</v>
      </c>
      <c r="D83" s="1513"/>
      <c r="E83" s="1514"/>
      <c r="F83" s="1515">
        <f>SUM(G83:L83)</f>
        <v>460656</v>
      </c>
      <c r="G83" s="1516">
        <f t="shared" ref="G83:L83" si="47">SUM(G171:G175)</f>
        <v>460656</v>
      </c>
      <c r="H83" s="1516">
        <f t="shared" si="47"/>
        <v>0</v>
      </c>
      <c r="I83" s="1516">
        <f t="shared" si="47"/>
        <v>0</v>
      </c>
      <c r="J83" s="1516">
        <f t="shared" si="47"/>
        <v>0</v>
      </c>
      <c r="K83" s="1516">
        <f t="shared" si="47"/>
        <v>0</v>
      </c>
      <c r="L83" s="1517">
        <f t="shared" si="47"/>
        <v>0</v>
      </c>
    </row>
    <row r="84" spans="1:12" s="1278" customFormat="1" ht="13.5" customHeight="1">
      <c r="A84" s="1518"/>
      <c r="B84" s="1482" t="s">
        <v>2756</v>
      </c>
      <c r="C84" s="1519"/>
      <c r="D84" s="1482"/>
      <c r="E84" s="1520"/>
      <c r="F84" s="1470">
        <f>SUM(G84:L84)</f>
        <v>6473000</v>
      </c>
      <c r="G84" s="1521">
        <f t="shared" ref="G84:L84" si="48">G71+G76</f>
        <v>6473000</v>
      </c>
      <c r="H84" s="1521">
        <f t="shared" si="48"/>
        <v>0</v>
      </c>
      <c r="I84" s="1521">
        <f t="shared" si="48"/>
        <v>0</v>
      </c>
      <c r="J84" s="1521">
        <f t="shared" si="48"/>
        <v>0</v>
      </c>
      <c r="K84" s="1521">
        <f t="shared" si="48"/>
        <v>0</v>
      </c>
      <c r="L84" s="1522">
        <f t="shared" si="48"/>
        <v>0</v>
      </c>
    </row>
    <row r="85" spans="1:12" s="1278" customFormat="1" ht="13.5" customHeight="1">
      <c r="A85" s="1345"/>
      <c r="B85" s="1462"/>
      <c r="C85" s="1523" t="s">
        <v>2613</v>
      </c>
      <c r="D85" s="1523"/>
      <c r="E85" s="1524"/>
      <c r="F85" s="1525"/>
      <c r="G85" s="1526" t="s">
        <v>2614</v>
      </c>
      <c r="H85" s="1527"/>
      <c r="I85" s="1527"/>
      <c r="J85" s="1527"/>
      <c r="K85" s="1527"/>
      <c r="L85" s="1527"/>
    </row>
    <row r="86" spans="1:12" s="1278" customFormat="1" ht="13.5" customHeight="1">
      <c r="A86" s="1338"/>
      <c r="B86" s="1457"/>
      <c r="C86" s="1457"/>
      <c r="D86" s="1457"/>
      <c r="E86" s="1459"/>
      <c r="F86" s="1459" t="s">
        <v>2505</v>
      </c>
      <c r="G86" s="1460" t="str">
        <f t="shared" ref="G86:L86" si="49">+G66</f>
        <v>●●工事</v>
      </c>
      <c r="H86" s="1460">
        <f t="shared" si="49"/>
        <v>0</v>
      </c>
      <c r="I86" s="1460">
        <f t="shared" si="49"/>
        <v>0</v>
      </c>
      <c r="J86" s="1460">
        <f t="shared" si="49"/>
        <v>0</v>
      </c>
      <c r="K86" s="1460">
        <f t="shared" si="49"/>
        <v>0</v>
      </c>
      <c r="L86" s="1461">
        <f t="shared" si="49"/>
        <v>0</v>
      </c>
    </row>
    <row r="87" spans="1:12" s="1278" customFormat="1" ht="13.5" customHeight="1">
      <c r="A87" s="1528" t="s">
        <v>2757</v>
      </c>
      <c r="B87" s="1529"/>
      <c r="C87" s="1530"/>
      <c r="D87" s="1530"/>
      <c r="E87" s="1531"/>
      <c r="F87" s="1532"/>
      <c r="G87" s="1533"/>
      <c r="H87" s="1533"/>
      <c r="I87" s="1533"/>
      <c r="J87" s="1533"/>
      <c r="K87" s="1533"/>
      <c r="L87" s="1534"/>
    </row>
    <row r="88" spans="1:12" s="1278" customFormat="1" ht="13.5" customHeight="1">
      <c r="A88" s="2897"/>
      <c r="B88" s="2889" t="s">
        <v>2728</v>
      </c>
      <c r="C88" s="1535" t="s">
        <v>2530</v>
      </c>
      <c r="D88" s="1485"/>
      <c r="E88" s="1502"/>
      <c r="F88" s="1342">
        <f t="shared" ref="F88:F107" si="50">SUM(G88:L88)</f>
        <v>0</v>
      </c>
      <c r="G88" s="1536"/>
      <c r="H88" s="1536"/>
      <c r="I88" s="1536"/>
      <c r="J88" s="1536"/>
      <c r="K88" s="1536"/>
      <c r="L88" s="1537"/>
    </row>
    <row r="89" spans="1:12" s="1278" customFormat="1" ht="13.5" customHeight="1">
      <c r="A89" s="2898"/>
      <c r="B89" s="2890"/>
      <c r="C89" s="1538" t="s">
        <v>2531</v>
      </c>
      <c r="D89" s="1539"/>
      <c r="E89" s="1490"/>
      <c r="F89" s="1349">
        <f>SUM(G89:L89)</f>
        <v>1000000</v>
      </c>
      <c r="G89" s="905">
        <f t="shared" ref="G89:L89" si="51">IF(G105=0,G68+G69-SUM(G88,G90:G107),0)</f>
        <v>1000000</v>
      </c>
      <c r="H89" s="905">
        <f t="shared" si="51"/>
        <v>0</v>
      </c>
      <c r="I89" s="905">
        <f t="shared" si="51"/>
        <v>0</v>
      </c>
      <c r="J89" s="905">
        <f t="shared" si="51"/>
        <v>0</v>
      </c>
      <c r="K89" s="905">
        <f t="shared" si="51"/>
        <v>0</v>
      </c>
      <c r="L89" s="906">
        <f t="shared" si="51"/>
        <v>0</v>
      </c>
    </row>
    <row r="90" spans="1:12" s="1278" customFormat="1" ht="13.5" customHeight="1">
      <c r="A90" s="2898"/>
      <c r="B90" s="2891" t="s">
        <v>2729</v>
      </c>
      <c r="C90" s="1540" t="s">
        <v>2758</v>
      </c>
      <c r="D90" s="1539"/>
      <c r="E90" s="1490"/>
      <c r="F90" s="1349">
        <f t="shared" si="50"/>
        <v>500000</v>
      </c>
      <c r="G90" s="905">
        <f t="shared" ref="G90:L90" si="52">IF(G106=0,G69-G70,0)</f>
        <v>500000</v>
      </c>
      <c r="H90" s="905">
        <f t="shared" si="52"/>
        <v>0</v>
      </c>
      <c r="I90" s="905">
        <f t="shared" si="52"/>
        <v>0</v>
      </c>
      <c r="J90" s="905">
        <f t="shared" si="52"/>
        <v>0</v>
      </c>
      <c r="K90" s="905">
        <f t="shared" si="52"/>
        <v>0</v>
      </c>
      <c r="L90" s="906">
        <f t="shared" si="52"/>
        <v>0</v>
      </c>
    </row>
    <row r="91" spans="1:12" s="1278" customFormat="1" ht="13.5" customHeight="1">
      <c r="A91" s="2898"/>
      <c r="B91" s="2892"/>
      <c r="C91" s="1538" t="s">
        <v>2759</v>
      </c>
      <c r="D91" s="1539"/>
      <c r="E91" s="1490"/>
      <c r="F91" s="1349">
        <f t="shared" si="50"/>
        <v>500000</v>
      </c>
      <c r="G91" s="1541">
        <v>500000</v>
      </c>
      <c r="H91" s="1541"/>
      <c r="I91" s="1541"/>
      <c r="J91" s="1541"/>
      <c r="K91" s="1541"/>
      <c r="L91" s="1542"/>
    </row>
    <row r="92" spans="1:12" s="1278" customFormat="1" ht="13.5" customHeight="1">
      <c r="A92" s="2898"/>
      <c r="B92" s="2892"/>
      <c r="C92" s="1543" t="s">
        <v>2760</v>
      </c>
      <c r="D92" s="1544"/>
      <c r="E92" s="1490"/>
      <c r="F92" s="1349">
        <f t="shared" si="50"/>
        <v>4000000</v>
      </c>
      <c r="G92" s="1541">
        <v>4000000</v>
      </c>
      <c r="H92" s="1541"/>
      <c r="I92" s="1541"/>
      <c r="J92" s="1541"/>
      <c r="K92" s="1541"/>
      <c r="L92" s="1542"/>
    </row>
    <row r="93" spans="1:12" s="1278" customFormat="1" ht="13.5" customHeight="1">
      <c r="A93" s="2898"/>
      <c r="B93" s="2892"/>
      <c r="C93" s="1538" t="s">
        <v>2761</v>
      </c>
      <c r="D93" s="1539"/>
      <c r="E93" s="1490"/>
      <c r="F93" s="1349">
        <f t="shared" si="50"/>
        <v>0</v>
      </c>
      <c r="G93" s="1541"/>
      <c r="H93" s="1541"/>
      <c r="I93" s="1541"/>
      <c r="J93" s="1541"/>
      <c r="K93" s="1541"/>
      <c r="L93" s="1542"/>
    </row>
    <row r="94" spans="1:12" s="1278" customFormat="1" ht="13.5" customHeight="1">
      <c r="A94" s="2898"/>
      <c r="B94" s="2892"/>
      <c r="C94" s="1538" t="s">
        <v>2762</v>
      </c>
      <c r="D94" s="1539"/>
      <c r="E94" s="1490"/>
      <c r="F94" s="1349">
        <f t="shared" si="50"/>
        <v>0</v>
      </c>
      <c r="G94" s="1541"/>
      <c r="H94" s="1541"/>
      <c r="I94" s="1541"/>
      <c r="J94" s="1541"/>
      <c r="K94" s="1541"/>
      <c r="L94" s="1542"/>
    </row>
    <row r="95" spans="1:12" s="1278" customFormat="1" ht="13.5" customHeight="1">
      <c r="A95" s="2898"/>
      <c r="B95" s="2892"/>
      <c r="C95" s="1545" t="s">
        <v>2763</v>
      </c>
      <c r="D95" s="1539"/>
      <c r="E95" s="1490"/>
      <c r="F95" s="1349">
        <f t="shared" si="50"/>
        <v>0</v>
      </c>
      <c r="G95" s="1541"/>
      <c r="H95" s="1541"/>
      <c r="I95" s="1541"/>
      <c r="J95" s="1541"/>
      <c r="K95" s="1541"/>
      <c r="L95" s="1542"/>
    </row>
    <row r="96" spans="1:12" s="1278" customFormat="1" ht="13.5" customHeight="1">
      <c r="A96" s="2898"/>
      <c r="B96" s="2892"/>
      <c r="C96" s="1539"/>
      <c r="D96" s="1539"/>
      <c r="E96" s="1490"/>
      <c r="F96" s="1349">
        <f t="shared" si="50"/>
        <v>0</v>
      </c>
      <c r="G96" s="905"/>
      <c r="H96" s="905"/>
      <c r="I96" s="905"/>
      <c r="J96" s="905"/>
      <c r="K96" s="905"/>
      <c r="L96" s="906"/>
    </row>
    <row r="97" spans="1:12" s="1278" customFormat="1" ht="13.5" customHeight="1">
      <c r="A97" s="2898"/>
      <c r="B97" s="2890"/>
      <c r="C97" s="1546"/>
      <c r="D97" s="1547"/>
      <c r="E97" s="1548"/>
      <c r="F97" s="1349">
        <f t="shared" si="50"/>
        <v>0</v>
      </c>
      <c r="G97" s="905"/>
      <c r="H97" s="905"/>
      <c r="I97" s="905"/>
      <c r="J97" s="905"/>
      <c r="K97" s="905"/>
      <c r="L97" s="906"/>
    </row>
    <row r="98" spans="1:12" s="1278" customFormat="1" ht="13.5" customHeight="1">
      <c r="A98" s="2898"/>
      <c r="B98" s="2891" t="s">
        <v>477</v>
      </c>
      <c r="C98" s="1539" t="s">
        <v>2764</v>
      </c>
      <c r="D98" s="1539"/>
      <c r="E98" s="1490"/>
      <c r="F98" s="1349">
        <f t="shared" si="50"/>
        <v>0</v>
      </c>
      <c r="G98" s="1541"/>
      <c r="H98" s="1541"/>
      <c r="I98" s="1541"/>
      <c r="J98" s="1541"/>
      <c r="K98" s="1541"/>
      <c r="L98" s="1542"/>
    </row>
    <row r="99" spans="1:12" s="1278" customFormat="1" ht="13.5" customHeight="1">
      <c r="A99" s="2898"/>
      <c r="B99" s="2892"/>
      <c r="C99" s="1549" t="s">
        <v>2765</v>
      </c>
      <c r="D99" s="1539"/>
      <c r="E99" s="1490"/>
      <c r="F99" s="1349">
        <f t="shared" si="50"/>
        <v>0</v>
      </c>
      <c r="G99" s="1541"/>
      <c r="H99" s="1541"/>
      <c r="I99" s="1541"/>
      <c r="J99" s="1541"/>
      <c r="K99" s="1541"/>
      <c r="L99" s="1542"/>
    </row>
    <row r="100" spans="1:12" s="1278" customFormat="1" ht="13.5" customHeight="1">
      <c r="A100" s="2898"/>
      <c r="B100" s="2890"/>
      <c r="C100" s="1549" t="s">
        <v>2766</v>
      </c>
      <c r="D100" s="1539"/>
      <c r="E100" s="1490"/>
      <c r="F100" s="1349">
        <f t="shared" si="50"/>
        <v>0</v>
      </c>
      <c r="G100" s="1541"/>
      <c r="H100" s="1541"/>
      <c r="I100" s="1541"/>
      <c r="J100" s="1541"/>
      <c r="K100" s="1541"/>
      <c r="L100" s="1542"/>
    </row>
    <row r="101" spans="1:12" s="1278" customFormat="1" ht="13.5" customHeight="1">
      <c r="A101" s="2898"/>
      <c r="B101" s="2891" t="s">
        <v>2544</v>
      </c>
      <c r="C101" s="1539" t="s">
        <v>2767</v>
      </c>
      <c r="D101" s="1539"/>
      <c r="E101" s="1490"/>
      <c r="F101" s="1349">
        <f t="shared" si="50"/>
        <v>0</v>
      </c>
      <c r="G101" s="1541"/>
      <c r="H101" s="1541"/>
      <c r="I101" s="1541"/>
      <c r="J101" s="1541"/>
      <c r="K101" s="1541"/>
      <c r="L101" s="1542"/>
    </row>
    <row r="102" spans="1:12" s="1278" customFormat="1" ht="13.5" customHeight="1">
      <c r="A102" s="2898"/>
      <c r="B102" s="2892"/>
      <c r="C102" s="1539"/>
      <c r="D102" s="1539"/>
      <c r="E102" s="1490"/>
      <c r="F102" s="1349">
        <f t="shared" si="50"/>
        <v>0</v>
      </c>
      <c r="G102" s="1541"/>
      <c r="H102" s="1541"/>
      <c r="I102" s="1541"/>
      <c r="J102" s="1541"/>
      <c r="K102" s="1541"/>
      <c r="L102" s="1542"/>
    </row>
    <row r="103" spans="1:12" s="1278" customFormat="1" ht="13.5" customHeight="1">
      <c r="A103" s="2898"/>
      <c r="B103" s="2892"/>
      <c r="C103" s="1539" t="s">
        <v>2768</v>
      </c>
      <c r="D103" s="1539"/>
      <c r="E103" s="1490"/>
      <c r="F103" s="1349">
        <f t="shared" si="50"/>
        <v>0</v>
      </c>
      <c r="G103" s="1541"/>
      <c r="H103" s="1541"/>
      <c r="I103" s="1541"/>
      <c r="J103" s="1541"/>
      <c r="K103" s="1541"/>
      <c r="L103" s="1542"/>
    </row>
    <row r="104" spans="1:12" s="1278" customFormat="1" ht="13.5" customHeight="1">
      <c r="A104" s="2898"/>
      <c r="B104" s="2892"/>
      <c r="C104" s="1539" t="s">
        <v>2769</v>
      </c>
      <c r="D104" s="1539"/>
      <c r="E104" s="1490"/>
      <c r="F104" s="1349">
        <f t="shared" si="50"/>
        <v>0</v>
      </c>
      <c r="G104" s="1541"/>
      <c r="H104" s="1541"/>
      <c r="I104" s="1541"/>
      <c r="J104" s="1541"/>
      <c r="K104" s="1541"/>
      <c r="L104" s="1542"/>
    </row>
    <row r="105" spans="1:12" s="1278" customFormat="1" ht="13.5" customHeight="1">
      <c r="A105" s="2898"/>
      <c r="B105" s="2892"/>
      <c r="C105" s="1550" t="s">
        <v>2770</v>
      </c>
      <c r="D105" s="1550"/>
      <c r="E105" s="1551"/>
      <c r="F105" s="1349">
        <f>SUM(G105:M105)</f>
        <v>0</v>
      </c>
      <c r="G105" s="1390"/>
      <c r="H105" s="1390"/>
      <c r="I105" s="1390"/>
      <c r="J105" s="1390"/>
      <c r="K105" s="1390"/>
      <c r="L105" s="1391"/>
    </row>
    <row r="106" spans="1:12" s="1278" customFormat="1" ht="13.5" customHeight="1">
      <c r="A106" s="2898"/>
      <c r="B106" s="2892"/>
      <c r="C106" s="1550" t="s">
        <v>2771</v>
      </c>
      <c r="D106" s="1550"/>
      <c r="E106" s="1551"/>
      <c r="F106" s="1349">
        <f>SUM(G106:M106)</f>
        <v>0</v>
      </c>
      <c r="G106" s="1390"/>
      <c r="H106" s="1390"/>
      <c r="I106" s="1390"/>
      <c r="J106" s="1390"/>
      <c r="K106" s="1390"/>
      <c r="L106" s="1391"/>
    </row>
    <row r="107" spans="1:12" s="1278" customFormat="1" ht="13.5" customHeight="1">
      <c r="A107" s="2899"/>
      <c r="B107" s="2900"/>
      <c r="C107" s="1552" t="s">
        <v>2772</v>
      </c>
      <c r="D107" s="1553"/>
      <c r="E107" s="1495"/>
      <c r="F107" s="1355">
        <f t="shared" si="50"/>
        <v>0</v>
      </c>
      <c r="G107" s="1554"/>
      <c r="H107" s="1554"/>
      <c r="I107" s="1554"/>
      <c r="J107" s="1554"/>
      <c r="K107" s="1554"/>
      <c r="L107" s="1555"/>
    </row>
    <row r="108" spans="1:12" s="889" customFormat="1" ht="15" customHeight="1">
      <c r="A108" s="1034"/>
      <c r="B108" s="1034"/>
      <c r="C108" s="1556" t="s">
        <v>2642</v>
      </c>
      <c r="D108" s="804"/>
      <c r="E108" s="1033"/>
      <c r="F108" s="1033"/>
      <c r="G108" s="1037"/>
      <c r="H108" s="1037"/>
      <c r="I108" s="1037"/>
      <c r="J108" s="1037"/>
      <c r="K108" s="1037"/>
      <c r="L108" s="1091" t="s">
        <v>2773</v>
      </c>
    </row>
    <row r="109" spans="1:12" s="889" customFormat="1" ht="15" customHeight="1">
      <c r="A109" s="1034"/>
      <c r="B109" s="1034"/>
      <c r="C109" s="1557" t="s">
        <v>2774</v>
      </c>
      <c r="D109" s="1557"/>
      <c r="E109" s="1033"/>
      <c r="F109" s="1033"/>
      <c r="G109" s="1037"/>
      <c r="H109" s="1037"/>
      <c r="I109" s="1037"/>
      <c r="J109" s="1037"/>
      <c r="K109" s="1037"/>
      <c r="L109" s="1091"/>
    </row>
    <row r="110" spans="1:12" s="889" customFormat="1" ht="15" customHeight="1">
      <c r="A110" s="1558"/>
      <c r="B110" s="1559"/>
      <c r="C110" s="1559"/>
      <c r="D110" s="2914"/>
      <c r="E110" s="2914" t="s">
        <v>2656</v>
      </c>
      <c r="F110" s="1083" t="s">
        <v>2505</v>
      </c>
      <c r="G110" s="1084" t="str">
        <f t="shared" ref="G110:L110" si="53">+G66</f>
        <v>●●工事</v>
      </c>
      <c r="H110" s="1084">
        <f t="shared" si="53"/>
        <v>0</v>
      </c>
      <c r="I110" s="1084">
        <f t="shared" si="53"/>
        <v>0</v>
      </c>
      <c r="J110" s="1084">
        <f t="shared" si="53"/>
        <v>0</v>
      </c>
      <c r="K110" s="1084">
        <f t="shared" si="53"/>
        <v>0</v>
      </c>
      <c r="L110" s="1306">
        <f t="shared" si="53"/>
        <v>0</v>
      </c>
    </row>
    <row r="111" spans="1:12" s="889" customFormat="1" ht="15" customHeight="1">
      <c r="A111" s="2916" t="s">
        <v>2645</v>
      </c>
      <c r="B111" s="2917"/>
      <c r="C111" s="2917"/>
      <c r="D111" s="2915"/>
      <c r="E111" s="2915"/>
      <c r="F111" s="1092"/>
      <c r="G111" s="1093"/>
      <c r="H111" s="1093"/>
      <c r="I111" s="1093"/>
      <c r="J111" s="1093"/>
      <c r="K111" s="1093"/>
      <c r="L111" s="1560"/>
    </row>
    <row r="112" spans="1:12" s="889" customFormat="1" ht="14.25" customHeight="1">
      <c r="A112" s="1561"/>
      <c r="B112" s="1562" t="s">
        <v>2775</v>
      </c>
      <c r="C112" s="1563"/>
      <c r="D112" s="1084"/>
      <c r="E112" s="1564"/>
      <c r="F112" s="1099">
        <f>SUM(G112:L112)</f>
        <v>1000000</v>
      </c>
      <c r="G112" s="1100">
        <f t="shared" ref="G112:L112" si="54">SUM(G88:G89,G98:G104)</f>
        <v>1000000</v>
      </c>
      <c r="H112" s="1100">
        <f t="shared" si="54"/>
        <v>0</v>
      </c>
      <c r="I112" s="1100">
        <f t="shared" si="54"/>
        <v>0</v>
      </c>
      <c r="J112" s="1100">
        <f t="shared" si="54"/>
        <v>0</v>
      </c>
      <c r="K112" s="1100">
        <f t="shared" si="54"/>
        <v>0</v>
      </c>
      <c r="L112" s="1565">
        <f t="shared" si="54"/>
        <v>0</v>
      </c>
    </row>
    <row r="113" spans="1:12" s="889" customFormat="1" ht="15" customHeight="1">
      <c r="A113" s="1566"/>
      <c r="B113" s="2889" t="s">
        <v>2776</v>
      </c>
      <c r="C113" s="1485" t="s">
        <v>2530</v>
      </c>
      <c r="D113" s="1084"/>
      <c r="E113" s="1567" t="s">
        <v>2777</v>
      </c>
      <c r="F113" s="1099">
        <f>SUM(G113:L113)</f>
        <v>0</v>
      </c>
      <c r="G113" s="1568">
        <f>+G88</f>
        <v>0</v>
      </c>
      <c r="H113" s="1068">
        <f t="shared" ref="H113:L114" si="55">+H88</f>
        <v>0</v>
      </c>
      <c r="I113" s="1068">
        <f t="shared" si="55"/>
        <v>0</v>
      </c>
      <c r="J113" s="1068">
        <f t="shared" si="55"/>
        <v>0</v>
      </c>
      <c r="K113" s="1068">
        <f t="shared" si="55"/>
        <v>0</v>
      </c>
      <c r="L113" s="1069">
        <f t="shared" si="55"/>
        <v>0</v>
      </c>
    </row>
    <row r="114" spans="1:12" s="889" customFormat="1" ht="15" customHeight="1">
      <c r="A114" s="1569"/>
      <c r="B114" s="2890"/>
      <c r="C114" s="1539" t="s">
        <v>2531</v>
      </c>
      <c r="D114" s="1570"/>
      <c r="E114" s="1571" t="s">
        <v>2777</v>
      </c>
      <c r="F114" s="904">
        <f>SUM(G114:L114)</f>
        <v>1000000</v>
      </c>
      <c r="G114" s="1572">
        <f>+G89</f>
        <v>1000000</v>
      </c>
      <c r="H114" s="905">
        <f t="shared" si="55"/>
        <v>0</v>
      </c>
      <c r="I114" s="905">
        <f t="shared" si="55"/>
        <v>0</v>
      </c>
      <c r="J114" s="905">
        <f t="shared" si="55"/>
        <v>0</v>
      </c>
      <c r="K114" s="905">
        <f t="shared" si="55"/>
        <v>0</v>
      </c>
      <c r="L114" s="906">
        <f t="shared" si="55"/>
        <v>0</v>
      </c>
    </row>
    <row r="115" spans="1:12" s="889" customFormat="1" ht="15" customHeight="1">
      <c r="A115" s="1569"/>
      <c r="B115" s="2891" t="s">
        <v>2729</v>
      </c>
      <c r="C115" s="1539" t="s">
        <v>2778</v>
      </c>
      <c r="D115" s="1570"/>
      <c r="E115" s="1548">
        <v>0.25</v>
      </c>
      <c r="F115" s="905">
        <f t="shared" ref="F115:F120" si="56">INT(F90/(1+$E115))</f>
        <v>400000</v>
      </c>
      <c r="G115" s="1572">
        <f t="shared" ref="G115:G120" si="57">F115-SUM(H115:L115)</f>
        <v>400000</v>
      </c>
      <c r="H115" s="905">
        <f t="shared" ref="H115:L120" si="58">IF(H90=0,0,ROUND($F115/$F90*H90,0))</f>
        <v>0</v>
      </c>
      <c r="I115" s="905">
        <f t="shared" si="58"/>
        <v>0</v>
      </c>
      <c r="J115" s="905">
        <f t="shared" si="58"/>
        <v>0</v>
      </c>
      <c r="K115" s="905">
        <f t="shared" si="58"/>
        <v>0</v>
      </c>
      <c r="L115" s="906">
        <f t="shared" si="58"/>
        <v>0</v>
      </c>
    </row>
    <row r="116" spans="1:12" s="889" customFormat="1" ht="15" customHeight="1">
      <c r="A116" s="1569"/>
      <c r="B116" s="2892"/>
      <c r="C116" s="1539" t="s">
        <v>2779</v>
      </c>
      <c r="D116" s="1570"/>
      <c r="E116" s="1548">
        <v>0.25</v>
      </c>
      <c r="F116" s="905">
        <f t="shared" si="56"/>
        <v>400000</v>
      </c>
      <c r="G116" s="1572">
        <f t="shared" si="57"/>
        <v>400000</v>
      </c>
      <c r="H116" s="905">
        <f t="shared" si="58"/>
        <v>0</v>
      </c>
      <c r="I116" s="905">
        <f t="shared" si="58"/>
        <v>0</v>
      </c>
      <c r="J116" s="905">
        <f t="shared" si="58"/>
        <v>0</v>
      </c>
      <c r="K116" s="905">
        <f t="shared" si="58"/>
        <v>0</v>
      </c>
      <c r="L116" s="906">
        <f t="shared" si="58"/>
        <v>0</v>
      </c>
    </row>
    <row r="117" spans="1:12" s="889" customFormat="1" ht="15" customHeight="1">
      <c r="A117" s="1569"/>
      <c r="B117" s="2892"/>
      <c r="C117" s="1573" t="str">
        <f>+C92</f>
        <v>(5)塗装工事（下請経費共）</v>
      </c>
      <c r="D117" s="1570"/>
      <c r="E117" s="1574">
        <v>0.22</v>
      </c>
      <c r="F117" s="905">
        <f>INT(F92/(1+$E117))</f>
        <v>3278688</v>
      </c>
      <c r="G117" s="1572">
        <f t="shared" si="57"/>
        <v>3278688</v>
      </c>
      <c r="H117" s="905">
        <f t="shared" si="58"/>
        <v>0</v>
      </c>
      <c r="I117" s="905">
        <f t="shared" si="58"/>
        <v>0</v>
      </c>
      <c r="J117" s="905">
        <f t="shared" si="58"/>
        <v>0</v>
      </c>
      <c r="K117" s="905">
        <f t="shared" si="58"/>
        <v>0</v>
      </c>
      <c r="L117" s="906">
        <f t="shared" si="58"/>
        <v>0</v>
      </c>
    </row>
    <row r="118" spans="1:12" s="889" customFormat="1" ht="15" customHeight="1">
      <c r="A118" s="1569"/>
      <c r="B118" s="2892"/>
      <c r="C118" s="1539" t="s">
        <v>2780</v>
      </c>
      <c r="D118" s="1570"/>
      <c r="E118" s="1548">
        <v>0.25</v>
      </c>
      <c r="F118" s="905">
        <f t="shared" si="56"/>
        <v>0</v>
      </c>
      <c r="G118" s="1572">
        <f t="shared" si="57"/>
        <v>0</v>
      </c>
      <c r="H118" s="905">
        <f t="shared" si="58"/>
        <v>0</v>
      </c>
      <c r="I118" s="905">
        <f t="shared" si="58"/>
        <v>0</v>
      </c>
      <c r="J118" s="905">
        <f t="shared" si="58"/>
        <v>0</v>
      </c>
      <c r="K118" s="905">
        <f t="shared" si="58"/>
        <v>0</v>
      </c>
      <c r="L118" s="906">
        <f t="shared" si="58"/>
        <v>0</v>
      </c>
    </row>
    <row r="119" spans="1:12" s="889" customFormat="1" ht="15" customHeight="1">
      <c r="A119" s="1569"/>
      <c r="B119" s="2892"/>
      <c r="C119" s="1539" t="s">
        <v>2781</v>
      </c>
      <c r="D119" s="1570"/>
      <c r="E119" s="1548">
        <v>0.25</v>
      </c>
      <c r="F119" s="905">
        <f t="shared" si="56"/>
        <v>0</v>
      </c>
      <c r="G119" s="1572">
        <f t="shared" si="57"/>
        <v>0</v>
      </c>
      <c r="H119" s="905">
        <f t="shared" si="58"/>
        <v>0</v>
      </c>
      <c r="I119" s="905">
        <f t="shared" si="58"/>
        <v>0</v>
      </c>
      <c r="J119" s="905">
        <f t="shared" si="58"/>
        <v>0</v>
      </c>
      <c r="K119" s="905">
        <f t="shared" si="58"/>
        <v>0</v>
      </c>
      <c r="L119" s="906">
        <f t="shared" si="58"/>
        <v>0</v>
      </c>
    </row>
    <row r="120" spans="1:12" s="889" customFormat="1" ht="15" customHeight="1">
      <c r="A120" s="1569"/>
      <c r="B120" s="2892"/>
      <c r="C120" s="1539" t="s">
        <v>2782</v>
      </c>
      <c r="D120" s="1570"/>
      <c r="E120" s="1548">
        <v>0.25</v>
      </c>
      <c r="F120" s="905">
        <f t="shared" si="56"/>
        <v>0</v>
      </c>
      <c r="G120" s="1572">
        <f t="shared" si="57"/>
        <v>0</v>
      </c>
      <c r="H120" s="905">
        <f t="shared" si="58"/>
        <v>0</v>
      </c>
      <c r="I120" s="905">
        <f t="shared" si="58"/>
        <v>0</v>
      </c>
      <c r="J120" s="905">
        <f t="shared" si="58"/>
        <v>0</v>
      </c>
      <c r="K120" s="905">
        <f t="shared" si="58"/>
        <v>0</v>
      </c>
      <c r="L120" s="906">
        <f t="shared" si="58"/>
        <v>0</v>
      </c>
    </row>
    <row r="121" spans="1:12" s="889" customFormat="1" ht="15" customHeight="1">
      <c r="A121" s="1569"/>
      <c r="B121" s="2892"/>
      <c r="C121" s="1539"/>
      <c r="D121" s="1570"/>
      <c r="E121" s="1548"/>
      <c r="F121" s="904"/>
      <c r="G121" s="1572"/>
      <c r="H121" s="905"/>
      <c r="I121" s="905"/>
      <c r="J121" s="905"/>
      <c r="K121" s="905"/>
      <c r="L121" s="906"/>
    </row>
    <row r="122" spans="1:12" s="889" customFormat="1" ht="15" customHeight="1">
      <c r="A122" s="1569"/>
      <c r="B122" s="2890"/>
      <c r="C122" s="1539"/>
      <c r="D122" s="1570"/>
      <c r="E122" s="1548"/>
      <c r="F122" s="904"/>
      <c r="G122" s="1572"/>
      <c r="H122" s="905"/>
      <c r="I122" s="905"/>
      <c r="J122" s="905"/>
      <c r="K122" s="905"/>
      <c r="L122" s="906"/>
    </row>
    <row r="123" spans="1:12" s="889" customFormat="1" ht="15" customHeight="1">
      <c r="A123" s="1569"/>
      <c r="B123" s="2891" t="s">
        <v>477</v>
      </c>
      <c r="C123" s="1539" t="s">
        <v>2783</v>
      </c>
      <c r="D123" s="1570"/>
      <c r="E123" s="1548">
        <v>0.02</v>
      </c>
      <c r="F123" s="904">
        <f>SUM(G123:L123)</f>
        <v>0</v>
      </c>
      <c r="G123" s="1572">
        <f t="shared" ref="G123:L125" si="59">+G98</f>
        <v>0</v>
      </c>
      <c r="H123" s="905">
        <f t="shared" si="59"/>
        <v>0</v>
      </c>
      <c r="I123" s="905">
        <f t="shared" si="59"/>
        <v>0</v>
      </c>
      <c r="J123" s="905">
        <f t="shared" si="59"/>
        <v>0</v>
      </c>
      <c r="K123" s="905">
        <f t="shared" si="59"/>
        <v>0</v>
      </c>
      <c r="L123" s="906">
        <f t="shared" si="59"/>
        <v>0</v>
      </c>
    </row>
    <row r="124" spans="1:12" s="889" customFormat="1" ht="15" customHeight="1">
      <c r="A124" s="1569"/>
      <c r="B124" s="2892"/>
      <c r="C124" s="1549" t="s">
        <v>2784</v>
      </c>
      <c r="D124" s="1570"/>
      <c r="E124" s="1548">
        <v>0.02</v>
      </c>
      <c r="F124" s="904">
        <f>SUM(G124:L124)</f>
        <v>0</v>
      </c>
      <c r="G124" s="1572">
        <f t="shared" si="59"/>
        <v>0</v>
      </c>
      <c r="H124" s="905">
        <f t="shared" si="59"/>
        <v>0</v>
      </c>
      <c r="I124" s="905">
        <f t="shared" si="59"/>
        <v>0</v>
      </c>
      <c r="J124" s="905">
        <f t="shared" si="59"/>
        <v>0</v>
      </c>
      <c r="K124" s="905">
        <f t="shared" si="59"/>
        <v>0</v>
      </c>
      <c r="L124" s="906">
        <f t="shared" si="59"/>
        <v>0</v>
      </c>
    </row>
    <row r="125" spans="1:12" s="889" customFormat="1" ht="15" customHeight="1">
      <c r="A125" s="1569"/>
      <c r="B125" s="2890"/>
      <c r="C125" s="1549" t="s">
        <v>2785</v>
      </c>
      <c r="D125" s="1570"/>
      <c r="E125" s="1548">
        <v>0.02</v>
      </c>
      <c r="F125" s="904">
        <f>SUM(G125:L125)</f>
        <v>0</v>
      </c>
      <c r="G125" s="1572">
        <f t="shared" si="59"/>
        <v>0</v>
      </c>
      <c r="H125" s="905">
        <f t="shared" si="59"/>
        <v>0</v>
      </c>
      <c r="I125" s="905">
        <f t="shared" si="59"/>
        <v>0</v>
      </c>
      <c r="J125" s="905">
        <f t="shared" si="59"/>
        <v>0</v>
      </c>
      <c r="K125" s="905">
        <f t="shared" si="59"/>
        <v>0</v>
      </c>
      <c r="L125" s="906">
        <f t="shared" si="59"/>
        <v>0</v>
      </c>
    </row>
    <row r="126" spans="1:12" s="889" customFormat="1" ht="15" customHeight="1">
      <c r="A126" s="1569"/>
      <c r="B126" s="1575" t="s">
        <v>2632</v>
      </c>
      <c r="C126" s="1576" t="s">
        <v>2786</v>
      </c>
      <c r="D126" s="1570"/>
      <c r="E126" s="1548">
        <v>0</v>
      </c>
      <c r="F126" s="904">
        <f>SUM(G126:L126)</f>
        <v>0</v>
      </c>
      <c r="G126" s="1577">
        <f t="shared" ref="G126:L126" si="60">SUM(G101:G107)</f>
        <v>0</v>
      </c>
      <c r="H126" s="1064">
        <f t="shared" si="60"/>
        <v>0</v>
      </c>
      <c r="I126" s="1064">
        <f t="shared" si="60"/>
        <v>0</v>
      </c>
      <c r="J126" s="1064">
        <f t="shared" si="60"/>
        <v>0</v>
      </c>
      <c r="K126" s="1064">
        <f t="shared" si="60"/>
        <v>0</v>
      </c>
      <c r="L126" s="1065">
        <f t="shared" si="60"/>
        <v>0</v>
      </c>
    </row>
    <row r="127" spans="1:12" s="889" customFormat="1" ht="15" customHeight="1">
      <c r="A127" s="1578" t="s">
        <v>2552</v>
      </c>
      <c r="B127" s="1579"/>
      <c r="C127" s="1579"/>
      <c r="D127" s="1580"/>
      <c r="E127" s="1581" t="s">
        <v>2787</v>
      </c>
      <c r="F127" s="1582"/>
      <c r="G127" s="1583"/>
      <c r="H127" s="1583"/>
      <c r="I127" s="1583"/>
      <c r="J127" s="1583"/>
      <c r="K127" s="1583"/>
      <c r="L127" s="1584"/>
    </row>
    <row r="128" spans="1:12" s="889" customFormat="1" ht="15" customHeight="1">
      <c r="A128" s="1566"/>
      <c r="B128" s="2889" t="s">
        <v>2776</v>
      </c>
      <c r="C128" s="1114" t="s">
        <v>2530</v>
      </c>
      <c r="D128" s="1115"/>
      <c r="E128" s="1116" t="s">
        <v>2788</v>
      </c>
      <c r="F128" s="1117" t="s">
        <v>2789</v>
      </c>
      <c r="G128" s="1118">
        <f t="shared" ref="G128:L128" si="61">IF(G113=0,0,+G193/100)</f>
        <v>0</v>
      </c>
      <c r="H128" s="1118">
        <f t="shared" si="61"/>
        <v>0</v>
      </c>
      <c r="I128" s="1118">
        <f t="shared" si="61"/>
        <v>0</v>
      </c>
      <c r="J128" s="1118">
        <f t="shared" si="61"/>
        <v>0</v>
      </c>
      <c r="K128" s="1118">
        <f t="shared" si="61"/>
        <v>0</v>
      </c>
      <c r="L128" s="1119">
        <f t="shared" si="61"/>
        <v>0</v>
      </c>
    </row>
    <row r="129" spans="1:12" s="889" customFormat="1" ht="15" customHeight="1">
      <c r="A129" s="1569"/>
      <c r="B129" s="2892"/>
      <c r="C129" s="1120"/>
      <c r="D129" s="1585">
        <v>1</v>
      </c>
      <c r="E129" s="1122" t="s">
        <v>2790</v>
      </c>
      <c r="F129" s="1055">
        <f>SUM(G129:N129)</f>
        <v>0</v>
      </c>
      <c r="G129" s="1071">
        <f t="shared" ref="G129:L129" si="62">ROUNDDOWN(G113*G128*$D129,0)</f>
        <v>0</v>
      </c>
      <c r="H129" s="1071">
        <f t="shared" si="62"/>
        <v>0</v>
      </c>
      <c r="I129" s="1071">
        <f t="shared" si="62"/>
        <v>0</v>
      </c>
      <c r="J129" s="1071">
        <f t="shared" si="62"/>
        <v>0</v>
      </c>
      <c r="K129" s="1071">
        <f t="shared" si="62"/>
        <v>0</v>
      </c>
      <c r="L129" s="1072">
        <f t="shared" si="62"/>
        <v>0</v>
      </c>
    </row>
    <row r="130" spans="1:12" s="889" customFormat="1" ht="15" customHeight="1">
      <c r="A130" s="1569"/>
      <c r="B130" s="2892"/>
      <c r="C130" s="1123" t="s">
        <v>2531</v>
      </c>
      <c r="D130" s="1124"/>
      <c r="E130" s="1122" t="s">
        <v>2790</v>
      </c>
      <c r="F130" s="1125" t="s">
        <v>2789</v>
      </c>
      <c r="G130" s="1146">
        <f t="shared" ref="G130:L130" si="63">IF(G114=0,0,+G201/100)</f>
        <v>0.2261</v>
      </c>
      <c r="H130" s="1146">
        <f t="shared" si="63"/>
        <v>0</v>
      </c>
      <c r="I130" s="1146">
        <f t="shared" si="63"/>
        <v>0</v>
      </c>
      <c r="J130" s="1146">
        <f t="shared" si="63"/>
        <v>0</v>
      </c>
      <c r="K130" s="1146">
        <f t="shared" si="63"/>
        <v>0</v>
      </c>
      <c r="L130" s="1586">
        <f t="shared" si="63"/>
        <v>0</v>
      </c>
    </row>
    <row r="131" spans="1:12" s="889" customFormat="1" ht="15" customHeight="1">
      <c r="A131" s="1569"/>
      <c r="B131" s="2919"/>
      <c r="C131" s="1120"/>
      <c r="D131" s="1587">
        <v>1</v>
      </c>
      <c r="E131" s="1122" t="s">
        <v>2790</v>
      </c>
      <c r="F131" s="1055">
        <f>SUM(G131:N131)</f>
        <v>226100</v>
      </c>
      <c r="G131" s="1071">
        <f t="shared" ref="G131:L131" si="64">ROUNDDOWN(G114*G130*$D131,0)</f>
        <v>226100</v>
      </c>
      <c r="H131" s="1071">
        <f t="shared" si="64"/>
        <v>0</v>
      </c>
      <c r="I131" s="1071">
        <f t="shared" si="64"/>
        <v>0</v>
      </c>
      <c r="J131" s="1071">
        <f t="shared" si="64"/>
        <v>0</v>
      </c>
      <c r="K131" s="1071">
        <f t="shared" si="64"/>
        <v>0</v>
      </c>
      <c r="L131" s="1072">
        <f t="shared" si="64"/>
        <v>0</v>
      </c>
    </row>
    <row r="132" spans="1:12" s="889" customFormat="1" ht="15" customHeight="1">
      <c r="A132" s="1569"/>
      <c r="B132" s="2891" t="s">
        <v>2729</v>
      </c>
      <c r="C132" s="1539" t="str">
        <f>+C115</f>
        <v>(3)共通仮設工事</v>
      </c>
      <c r="D132" s="1588"/>
      <c r="E132" s="1548">
        <f t="shared" ref="E132:E137" si="65">+E115</f>
        <v>0.25</v>
      </c>
      <c r="F132" s="904">
        <f t="shared" ref="F132:F137" si="66">INT((F90-F115)*0.5)</f>
        <v>50000</v>
      </c>
      <c r="G132" s="905">
        <f t="shared" ref="G132:G137" si="67">F132-SUM(H132:L132)</f>
        <v>50000</v>
      </c>
      <c r="H132" s="905">
        <f t="shared" ref="H132:L137" si="68">IF(H115=0,0,ROUND($F132/$F115*H115,0))</f>
        <v>0</v>
      </c>
      <c r="I132" s="905">
        <f t="shared" si="68"/>
        <v>0</v>
      </c>
      <c r="J132" s="905">
        <f t="shared" si="68"/>
        <v>0</v>
      </c>
      <c r="K132" s="905">
        <f t="shared" si="68"/>
        <v>0</v>
      </c>
      <c r="L132" s="906">
        <f t="shared" si="68"/>
        <v>0</v>
      </c>
    </row>
    <row r="133" spans="1:12" s="889" customFormat="1" ht="15" customHeight="1">
      <c r="A133" s="1569"/>
      <c r="B133" s="2892"/>
      <c r="C133" s="1539" t="str">
        <f>+C116</f>
        <v>(4)直接仮設工事</v>
      </c>
      <c r="D133" s="1588"/>
      <c r="E133" s="1548">
        <f t="shared" si="65"/>
        <v>0.25</v>
      </c>
      <c r="F133" s="904">
        <f t="shared" si="66"/>
        <v>50000</v>
      </c>
      <c r="G133" s="905">
        <f t="shared" si="67"/>
        <v>50000</v>
      </c>
      <c r="H133" s="905">
        <f t="shared" si="68"/>
        <v>0</v>
      </c>
      <c r="I133" s="905">
        <f t="shared" si="68"/>
        <v>0</v>
      </c>
      <c r="J133" s="905">
        <f t="shared" si="68"/>
        <v>0</v>
      </c>
      <c r="K133" s="905">
        <f t="shared" si="68"/>
        <v>0</v>
      </c>
      <c r="L133" s="906">
        <f t="shared" si="68"/>
        <v>0</v>
      </c>
    </row>
    <row r="134" spans="1:12" s="889" customFormat="1" ht="15" customHeight="1">
      <c r="A134" s="1569"/>
      <c r="B134" s="2892"/>
      <c r="C134" s="1573" t="str">
        <f>C117</f>
        <v>(5)塗装工事（下請経費共）</v>
      </c>
      <c r="D134" s="1588"/>
      <c r="E134" s="1589">
        <f t="shared" si="65"/>
        <v>0.22</v>
      </c>
      <c r="F134" s="904">
        <f t="shared" si="66"/>
        <v>360656</v>
      </c>
      <c r="G134" s="905">
        <f>F134-SUM(H134:L134)</f>
        <v>360656</v>
      </c>
      <c r="H134" s="905">
        <f>IF(H117=0,0,ROUND($F134/$F117*H117,0))</f>
        <v>0</v>
      </c>
      <c r="I134" s="905">
        <f t="shared" si="68"/>
        <v>0</v>
      </c>
      <c r="J134" s="905">
        <f t="shared" si="68"/>
        <v>0</v>
      </c>
      <c r="K134" s="905">
        <f t="shared" si="68"/>
        <v>0</v>
      </c>
      <c r="L134" s="906">
        <f t="shared" si="68"/>
        <v>0</v>
      </c>
    </row>
    <row r="135" spans="1:12" s="889" customFormat="1" ht="15" customHeight="1">
      <c r="A135" s="1569"/>
      <c r="B135" s="2892"/>
      <c r="C135" s="1539" t="str">
        <f>+C118</f>
        <v>(6)場内小運搬費</v>
      </c>
      <c r="D135" s="1588"/>
      <c r="E135" s="1548">
        <f t="shared" si="65"/>
        <v>0.25</v>
      </c>
      <c r="F135" s="904">
        <f t="shared" si="66"/>
        <v>0</v>
      </c>
      <c r="G135" s="905">
        <f t="shared" si="67"/>
        <v>0</v>
      </c>
      <c r="H135" s="905">
        <f t="shared" si="68"/>
        <v>0</v>
      </c>
      <c r="I135" s="905">
        <f t="shared" si="68"/>
        <v>0</v>
      </c>
      <c r="J135" s="905">
        <f t="shared" si="68"/>
        <v>0</v>
      </c>
      <c r="K135" s="905">
        <f t="shared" si="68"/>
        <v>0</v>
      </c>
      <c r="L135" s="906">
        <f t="shared" si="68"/>
        <v>0</v>
      </c>
    </row>
    <row r="136" spans="1:12" s="889" customFormat="1" ht="15" customHeight="1">
      <c r="A136" s="1569"/>
      <c r="B136" s="2892"/>
      <c r="C136" s="1539" t="str">
        <f>+C119</f>
        <v>(7)〃人力積込み費</v>
      </c>
      <c r="D136" s="1588"/>
      <c r="E136" s="1548">
        <f t="shared" si="65"/>
        <v>0.25</v>
      </c>
      <c r="F136" s="904">
        <f t="shared" si="66"/>
        <v>0</v>
      </c>
      <c r="G136" s="905">
        <f t="shared" si="67"/>
        <v>0</v>
      </c>
      <c r="H136" s="905">
        <f t="shared" si="68"/>
        <v>0</v>
      </c>
      <c r="I136" s="905">
        <f t="shared" si="68"/>
        <v>0</v>
      </c>
      <c r="J136" s="905">
        <f t="shared" si="68"/>
        <v>0</v>
      </c>
      <c r="K136" s="905">
        <f t="shared" si="68"/>
        <v>0</v>
      </c>
      <c r="L136" s="906">
        <f t="shared" si="68"/>
        <v>0</v>
      </c>
    </row>
    <row r="137" spans="1:12" s="889" customFormat="1" ht="15" customHeight="1">
      <c r="A137" s="1569"/>
      <c r="B137" s="2892"/>
      <c r="C137" s="1539" t="str">
        <f>+C120</f>
        <v>(8)〃搬出準備費</v>
      </c>
      <c r="D137" s="1588"/>
      <c r="E137" s="1548">
        <f t="shared" si="65"/>
        <v>0.25</v>
      </c>
      <c r="F137" s="904">
        <f t="shared" si="66"/>
        <v>0</v>
      </c>
      <c r="G137" s="905">
        <f t="shared" si="67"/>
        <v>0</v>
      </c>
      <c r="H137" s="905">
        <f t="shared" si="68"/>
        <v>0</v>
      </c>
      <c r="I137" s="905">
        <f t="shared" si="68"/>
        <v>0</v>
      </c>
      <c r="J137" s="905">
        <f t="shared" si="68"/>
        <v>0</v>
      </c>
      <c r="K137" s="905">
        <f t="shared" si="68"/>
        <v>0</v>
      </c>
      <c r="L137" s="906">
        <f t="shared" si="68"/>
        <v>0</v>
      </c>
    </row>
    <row r="138" spans="1:12" s="889" customFormat="1" ht="15" customHeight="1">
      <c r="A138" s="1569"/>
      <c r="B138" s="2892"/>
      <c r="C138" s="1539"/>
      <c r="D138" s="1588"/>
      <c r="E138" s="1590"/>
      <c r="F138" s="904"/>
      <c r="G138" s="905"/>
      <c r="H138" s="905"/>
      <c r="I138" s="905"/>
      <c r="J138" s="905"/>
      <c r="K138" s="905"/>
      <c r="L138" s="906"/>
    </row>
    <row r="139" spans="1:12" s="889" customFormat="1" ht="15" customHeight="1">
      <c r="A139" s="1569"/>
      <c r="B139" s="2890"/>
      <c r="C139" s="1539"/>
      <c r="D139" s="1588"/>
      <c r="E139" s="1548"/>
      <c r="F139" s="904"/>
      <c r="G139" s="905"/>
      <c r="H139" s="905"/>
      <c r="I139" s="905"/>
      <c r="J139" s="905"/>
      <c r="K139" s="905"/>
      <c r="L139" s="906"/>
    </row>
    <row r="140" spans="1:12" s="889" customFormat="1" ht="15" customHeight="1">
      <c r="A140" s="1569"/>
      <c r="B140" s="2891" t="s">
        <v>477</v>
      </c>
      <c r="C140" s="1539" t="s">
        <v>2791</v>
      </c>
      <c r="D140" s="1588"/>
      <c r="E140" s="1548">
        <f>+E123</f>
        <v>0.02</v>
      </c>
      <c r="F140" s="904">
        <f>INT(F123*E140)</f>
        <v>0</v>
      </c>
      <c r="G140" s="905">
        <f>F140-SUM(H140:L140)</f>
        <v>0</v>
      </c>
      <c r="H140" s="905">
        <f t="shared" ref="H140:L142" si="69">IF(H123=0,0,ROUND($F140/$F123*H123,0))</f>
        <v>0</v>
      </c>
      <c r="I140" s="905">
        <f t="shared" si="69"/>
        <v>0</v>
      </c>
      <c r="J140" s="905">
        <f t="shared" si="69"/>
        <v>0</v>
      </c>
      <c r="K140" s="905">
        <f t="shared" si="69"/>
        <v>0</v>
      </c>
      <c r="L140" s="906">
        <f t="shared" si="69"/>
        <v>0</v>
      </c>
    </row>
    <row r="141" spans="1:12" s="889" customFormat="1" ht="15" customHeight="1">
      <c r="A141" s="1569"/>
      <c r="B141" s="2892"/>
      <c r="C141" s="1549" t="s">
        <v>2784</v>
      </c>
      <c r="D141" s="1588"/>
      <c r="E141" s="1548">
        <f>+E124</f>
        <v>0.02</v>
      </c>
      <c r="F141" s="904">
        <f>INT(F124*E141)</f>
        <v>0</v>
      </c>
      <c r="G141" s="905">
        <f>F141-SUM(H141:L141)</f>
        <v>0</v>
      </c>
      <c r="H141" s="905">
        <f t="shared" si="69"/>
        <v>0</v>
      </c>
      <c r="I141" s="905">
        <f t="shared" si="69"/>
        <v>0</v>
      </c>
      <c r="J141" s="905">
        <f t="shared" si="69"/>
        <v>0</v>
      </c>
      <c r="K141" s="905">
        <f t="shared" si="69"/>
        <v>0</v>
      </c>
      <c r="L141" s="906">
        <f t="shared" si="69"/>
        <v>0</v>
      </c>
    </row>
    <row r="142" spans="1:12" s="889" customFormat="1" ht="15" customHeight="1">
      <c r="A142" s="1569"/>
      <c r="B142" s="2890"/>
      <c r="C142" s="1549" t="s">
        <v>2792</v>
      </c>
      <c r="D142" s="1588"/>
      <c r="E142" s="1548">
        <f>+E125</f>
        <v>0.02</v>
      </c>
      <c r="F142" s="904">
        <f>INT(F125*E142)</f>
        <v>0</v>
      </c>
      <c r="G142" s="905">
        <f>F142-SUM(H142:L142)</f>
        <v>0</v>
      </c>
      <c r="H142" s="905">
        <f t="shared" si="69"/>
        <v>0</v>
      </c>
      <c r="I142" s="905">
        <f t="shared" si="69"/>
        <v>0</v>
      </c>
      <c r="J142" s="905">
        <f t="shared" si="69"/>
        <v>0</v>
      </c>
      <c r="K142" s="905">
        <f t="shared" si="69"/>
        <v>0</v>
      </c>
      <c r="L142" s="906">
        <f t="shared" si="69"/>
        <v>0</v>
      </c>
    </row>
    <row r="143" spans="1:12" s="889" customFormat="1" ht="14.25" customHeight="1">
      <c r="A143" s="1569"/>
      <c r="B143" s="1591" t="s">
        <v>2561</v>
      </c>
      <c r="C143" s="1592" t="s">
        <v>2793</v>
      </c>
      <c r="D143" s="1593"/>
      <c r="E143" s="1548"/>
      <c r="F143" s="904">
        <f>SUM(G143:M143)</f>
        <v>0</v>
      </c>
      <c r="G143" s="1390"/>
      <c r="H143" s="1390"/>
      <c r="I143" s="1390"/>
      <c r="J143" s="1390"/>
      <c r="K143" s="1390"/>
      <c r="L143" s="1391"/>
    </row>
    <row r="144" spans="1:12" s="889" customFormat="1" ht="14.25" customHeight="1">
      <c r="A144" s="1569"/>
      <c r="B144" s="1594" t="s">
        <v>2563</v>
      </c>
      <c r="C144" s="1595" t="s">
        <v>2794</v>
      </c>
      <c r="D144" s="1593"/>
      <c r="E144" s="1548"/>
      <c r="F144" s="904"/>
      <c r="G144" s="905"/>
      <c r="H144" s="905"/>
      <c r="I144" s="905"/>
      <c r="J144" s="905"/>
      <c r="K144" s="905"/>
      <c r="L144" s="906"/>
    </row>
    <row r="145" spans="1:12" s="889" customFormat="1" ht="15" customHeight="1">
      <c r="A145" s="1569"/>
      <c r="B145" s="1596" t="s">
        <v>2632</v>
      </c>
      <c r="C145" s="1597" t="s">
        <v>2795</v>
      </c>
      <c r="D145" s="1598"/>
      <c r="E145" s="1599">
        <f>+E126</f>
        <v>0</v>
      </c>
      <c r="F145" s="904">
        <f>INT(F126*E145)</f>
        <v>0</v>
      </c>
      <c r="G145" s="905">
        <f>F145-SUM(H145:L145)</f>
        <v>0</v>
      </c>
      <c r="H145" s="905">
        <f>IF(H126=0,0,ROUND($F145/$F126*H126,0))</f>
        <v>0</v>
      </c>
      <c r="I145" s="905">
        <f>IF(I126=0,0,ROUND($F145/$F126*I126,0))</f>
        <v>0</v>
      </c>
      <c r="J145" s="905">
        <f>IF(J126=0,0,ROUND($F145/$F126*J126,0))</f>
        <v>0</v>
      </c>
      <c r="K145" s="905">
        <f>IF(K126=0,0,ROUND($F145/$F126*K126,0))</f>
        <v>0</v>
      </c>
      <c r="L145" s="906">
        <f>IF(L126=0,0,ROUND($F145/$F126*L126,0))</f>
        <v>0</v>
      </c>
    </row>
    <row r="146" spans="1:12" s="889" customFormat="1" ht="15" customHeight="1" thickBot="1">
      <c r="A146" s="1600"/>
      <c r="B146" s="1601"/>
      <c r="C146" s="1602"/>
      <c r="D146" s="1603"/>
      <c r="E146" s="1599"/>
      <c r="F146" s="1135"/>
      <c r="G146" s="905"/>
      <c r="H146" s="1219"/>
      <c r="I146" s="1219"/>
      <c r="J146" s="1219"/>
      <c r="K146" s="1219"/>
      <c r="L146" s="1220"/>
    </row>
    <row r="147" spans="1:12" s="889" customFormat="1" ht="15" customHeight="1" thickTop="1">
      <c r="A147" s="1604"/>
      <c r="B147" s="1605"/>
      <c r="C147" s="1606" t="s">
        <v>2652</v>
      </c>
      <c r="D147" s="1607"/>
      <c r="E147" s="1608"/>
      <c r="F147" s="1160">
        <f>SUM(F128:F146)</f>
        <v>686756</v>
      </c>
      <c r="G147" s="1160">
        <f t="shared" ref="G147:L147" si="70">SUM(G131:G146)+G129</f>
        <v>686756</v>
      </c>
      <c r="H147" s="1160">
        <f t="shared" si="70"/>
        <v>0</v>
      </c>
      <c r="I147" s="1160">
        <f t="shared" si="70"/>
        <v>0</v>
      </c>
      <c r="J147" s="1160">
        <f t="shared" si="70"/>
        <v>0</v>
      </c>
      <c r="K147" s="1160">
        <f t="shared" si="70"/>
        <v>0</v>
      </c>
      <c r="L147" s="1161">
        <f t="shared" si="70"/>
        <v>0</v>
      </c>
    </row>
    <row r="148" spans="1:12" s="889" customFormat="1" ht="15" customHeight="1">
      <c r="A148" s="1609"/>
      <c r="B148" s="1610"/>
      <c r="C148" s="1611" t="s">
        <v>2653</v>
      </c>
      <c r="D148" s="1612"/>
      <c r="E148" s="1613"/>
      <c r="F148" s="939">
        <f>SUM(G148:L148)</f>
        <v>5765444</v>
      </c>
      <c r="G148" s="1064">
        <f t="shared" ref="G148:L148" si="71">+G71+G147</f>
        <v>5765444</v>
      </c>
      <c r="H148" s="1064">
        <f t="shared" si="71"/>
        <v>0</v>
      </c>
      <c r="I148" s="1064">
        <f t="shared" si="71"/>
        <v>0</v>
      </c>
      <c r="J148" s="1064">
        <f t="shared" si="71"/>
        <v>0</v>
      </c>
      <c r="K148" s="1064">
        <f t="shared" si="71"/>
        <v>0</v>
      </c>
      <c r="L148" s="1065">
        <f t="shared" si="71"/>
        <v>0</v>
      </c>
    </row>
    <row r="149" spans="1:12" s="889" customFormat="1" ht="15" customHeight="1">
      <c r="A149" s="1034"/>
      <c r="B149" s="1034"/>
      <c r="C149" s="1556" t="s">
        <v>2654</v>
      </c>
      <c r="D149" s="804"/>
      <c r="E149" s="1033"/>
      <c r="F149" s="1033"/>
      <c r="G149" s="1091"/>
      <c r="H149" s="1037"/>
      <c r="I149" s="1037"/>
      <c r="J149" s="1037"/>
      <c r="K149" s="1037"/>
      <c r="L149" s="1091" t="s">
        <v>2796</v>
      </c>
    </row>
    <row r="150" spans="1:12" s="889" customFormat="1" ht="15" customHeight="1">
      <c r="A150" s="1034"/>
      <c r="B150" s="1034"/>
      <c r="C150" s="1034"/>
      <c r="D150" s="1034"/>
      <c r="E150" s="1034"/>
      <c r="F150" s="1034"/>
      <c r="G150" s="1037"/>
      <c r="H150" s="1037"/>
      <c r="I150" s="1037"/>
      <c r="J150" s="1037"/>
      <c r="K150" s="1037"/>
      <c r="L150" s="1037"/>
    </row>
    <row r="151" spans="1:12" s="889" customFormat="1" ht="15" customHeight="1">
      <c r="A151" s="2920"/>
      <c r="B151" s="2921"/>
      <c r="C151" s="2921"/>
      <c r="D151" s="1614"/>
      <c r="E151" s="1083" t="s">
        <v>2656</v>
      </c>
      <c r="F151" s="1083" t="s">
        <v>2505</v>
      </c>
      <c r="G151" s="1084" t="str">
        <f t="shared" ref="G151:L151" si="72">+G66</f>
        <v>●●工事</v>
      </c>
      <c r="H151" s="1084">
        <f t="shared" si="72"/>
        <v>0</v>
      </c>
      <c r="I151" s="1084">
        <f t="shared" si="72"/>
        <v>0</v>
      </c>
      <c r="J151" s="1084">
        <f t="shared" si="72"/>
        <v>0</v>
      </c>
      <c r="K151" s="1084">
        <f t="shared" si="72"/>
        <v>0</v>
      </c>
      <c r="L151" s="1085">
        <f t="shared" si="72"/>
        <v>0</v>
      </c>
    </row>
    <row r="152" spans="1:12" s="889" customFormat="1" ht="15" customHeight="1">
      <c r="A152" s="2922"/>
      <c r="B152" s="2923"/>
      <c r="C152" s="2923"/>
      <c r="D152" s="1167"/>
      <c r="E152" s="926"/>
      <c r="F152" s="1615"/>
      <c r="G152" s="1169"/>
      <c r="H152" s="1169"/>
      <c r="I152" s="1169"/>
      <c r="J152" s="1169"/>
      <c r="K152" s="1169"/>
      <c r="L152" s="1170"/>
    </row>
    <row r="153" spans="1:12" s="889" customFormat="1" ht="15" customHeight="1">
      <c r="A153" s="1616"/>
      <c r="B153" s="1617"/>
      <c r="C153" s="1618" t="s">
        <v>2797</v>
      </c>
      <c r="D153" s="1619"/>
      <c r="E153" s="1620"/>
      <c r="F153" s="900">
        <f t="shared" ref="F153:L153" si="73">+F148</f>
        <v>5765444</v>
      </c>
      <c r="G153" s="900">
        <f>+G148</f>
        <v>5765444</v>
      </c>
      <c r="H153" s="900">
        <f>+H148</f>
        <v>0</v>
      </c>
      <c r="I153" s="900">
        <f t="shared" si="73"/>
        <v>0</v>
      </c>
      <c r="J153" s="900">
        <f t="shared" si="73"/>
        <v>0</v>
      </c>
      <c r="K153" s="900">
        <f t="shared" si="73"/>
        <v>0</v>
      </c>
      <c r="L153" s="1178">
        <f t="shared" si="73"/>
        <v>0</v>
      </c>
    </row>
    <row r="154" spans="1:12" s="889" customFormat="1" ht="15" customHeight="1">
      <c r="A154" s="1621"/>
      <c r="B154" s="1622"/>
      <c r="C154" s="1623"/>
      <c r="D154" s="1624"/>
      <c r="E154" s="1625" t="s">
        <v>2798</v>
      </c>
      <c r="F154" s="904">
        <f>SUM(G154:L154)</f>
        <v>1226100</v>
      </c>
      <c r="G154" s="905">
        <f t="shared" ref="G154:L154" si="74">G112+SUM(G140:G145)+G105+G106+G131</f>
        <v>1226100</v>
      </c>
      <c r="H154" s="905">
        <f t="shared" si="74"/>
        <v>0</v>
      </c>
      <c r="I154" s="905">
        <f t="shared" si="74"/>
        <v>0</v>
      </c>
      <c r="J154" s="905">
        <f t="shared" si="74"/>
        <v>0</v>
      </c>
      <c r="K154" s="905">
        <f t="shared" si="74"/>
        <v>0</v>
      </c>
      <c r="L154" s="906">
        <f t="shared" si="74"/>
        <v>0</v>
      </c>
    </row>
    <row r="155" spans="1:12" s="889" customFormat="1" ht="15" customHeight="1">
      <c r="A155" s="1609"/>
      <c r="B155" s="1610"/>
      <c r="C155" s="1626"/>
      <c r="D155" s="1612"/>
      <c r="E155" s="1627"/>
      <c r="F155" s="939"/>
      <c r="G155" s="1064"/>
      <c r="H155" s="1064"/>
      <c r="I155" s="1064"/>
      <c r="J155" s="1064"/>
      <c r="K155" s="1064"/>
      <c r="L155" s="1065"/>
    </row>
    <row r="156" spans="1:12" s="889" customFormat="1" ht="15" customHeight="1">
      <c r="A156" s="1558"/>
      <c r="B156" s="1559"/>
      <c r="C156" s="1559"/>
      <c r="D156" s="1628"/>
      <c r="E156" s="1620" t="str">
        <f>E66</f>
        <v>無し</v>
      </c>
      <c r="F156" s="2910" t="s">
        <v>2660</v>
      </c>
      <c r="G156" s="2910"/>
      <c r="H156" s="1068"/>
      <c r="I156" s="1068"/>
      <c r="J156" s="1068"/>
      <c r="K156" s="1068"/>
      <c r="L156" s="1069"/>
    </row>
    <row r="157" spans="1:12" s="889" customFormat="1" ht="15" customHeight="1">
      <c r="A157" s="2911" t="s">
        <v>2661</v>
      </c>
      <c r="B157" s="2911"/>
      <c r="C157" s="2912"/>
      <c r="D157" s="1629"/>
      <c r="E157" s="1627" t="str">
        <f>+E67</f>
        <v>有り</v>
      </c>
      <c r="F157" s="2913" t="s">
        <v>2662</v>
      </c>
      <c r="G157" s="2913"/>
      <c r="H157" s="1064"/>
      <c r="I157" s="1064"/>
      <c r="J157" s="1064"/>
      <c r="K157" s="1064"/>
      <c r="L157" s="1065"/>
    </row>
    <row r="158" spans="1:12" s="889" customFormat="1" ht="15" customHeight="1">
      <c r="A158" s="2924"/>
      <c r="B158" s="1630" t="s">
        <v>161</v>
      </c>
      <c r="C158" s="1631" t="s">
        <v>2799</v>
      </c>
      <c r="D158" s="1632"/>
      <c r="E158" s="1633">
        <f>G207/100</f>
        <v>0.1724</v>
      </c>
      <c r="F158" s="900">
        <f>SUM(G158:L158)</f>
        <v>1226100</v>
      </c>
      <c r="G158" s="1068">
        <f t="shared" ref="G158:L158" si="75">+G153-SUM(G162:G163)</f>
        <v>1226100</v>
      </c>
      <c r="H158" s="1068">
        <f t="shared" si="75"/>
        <v>0</v>
      </c>
      <c r="I158" s="1068">
        <f t="shared" si="75"/>
        <v>0</v>
      </c>
      <c r="J158" s="1068">
        <f t="shared" si="75"/>
        <v>0</v>
      </c>
      <c r="K158" s="1068">
        <f t="shared" si="75"/>
        <v>0</v>
      </c>
      <c r="L158" s="1069">
        <f t="shared" si="75"/>
        <v>0</v>
      </c>
    </row>
    <row r="159" spans="1:12" s="889" customFormat="1" ht="15" customHeight="1">
      <c r="A159" s="2925"/>
      <c r="B159" s="2918" t="s">
        <v>2664</v>
      </c>
      <c r="C159" s="1634" t="s">
        <v>2665</v>
      </c>
      <c r="D159" s="1593"/>
      <c r="E159" s="1635">
        <f>IF(E156="無し",0.05,0)</f>
        <v>0.05</v>
      </c>
      <c r="F159" s="904">
        <f>SUM(G159:L159)</f>
        <v>672035</v>
      </c>
      <c r="G159" s="905">
        <f t="shared" ref="G159:L159" si="76">+G168+SUM(G172:G175)</f>
        <v>672035</v>
      </c>
      <c r="H159" s="905">
        <f>+H168+SUM(H172:H175)</f>
        <v>0</v>
      </c>
      <c r="I159" s="905">
        <f t="shared" si="76"/>
        <v>0</v>
      </c>
      <c r="J159" s="905">
        <f t="shared" si="76"/>
        <v>0</v>
      </c>
      <c r="K159" s="905">
        <f t="shared" si="76"/>
        <v>0</v>
      </c>
      <c r="L159" s="906">
        <f t="shared" si="76"/>
        <v>0</v>
      </c>
    </row>
    <row r="160" spans="1:12" s="889" customFormat="1" ht="15" customHeight="1">
      <c r="A160" s="2925"/>
      <c r="B160" s="2918"/>
      <c r="C160" s="1634" t="s">
        <v>2666</v>
      </c>
      <c r="D160" s="1636"/>
      <c r="E160" s="1548">
        <f>IF(E157="無し",0,0.0004)</f>
        <v>4.0000000000000002E-4</v>
      </c>
      <c r="F160" s="904">
        <f>SUM(G160:L160)</f>
        <v>5765444</v>
      </c>
      <c r="G160" s="905">
        <f t="shared" ref="G160:L160" si="77">+G153</f>
        <v>5765444</v>
      </c>
      <c r="H160" s="905">
        <f>+H153</f>
        <v>0</v>
      </c>
      <c r="I160" s="905">
        <f t="shared" si="77"/>
        <v>0</v>
      </c>
      <c r="J160" s="905">
        <f t="shared" si="77"/>
        <v>0</v>
      </c>
      <c r="K160" s="905">
        <f t="shared" si="77"/>
        <v>0</v>
      </c>
      <c r="L160" s="906">
        <f t="shared" si="77"/>
        <v>0</v>
      </c>
    </row>
    <row r="161" spans="1:12" s="889" customFormat="1" ht="15" customHeight="1">
      <c r="A161" s="2925"/>
      <c r="B161" s="2926" t="s">
        <v>2800</v>
      </c>
      <c r="C161" s="1634"/>
      <c r="D161" s="1637"/>
      <c r="E161" s="1637"/>
      <c r="F161" s="904"/>
      <c r="G161" s="905"/>
      <c r="H161" s="905"/>
      <c r="I161" s="905"/>
      <c r="J161" s="905"/>
      <c r="K161" s="905"/>
      <c r="L161" s="906"/>
    </row>
    <row r="162" spans="1:12" s="889" customFormat="1" ht="15" customHeight="1">
      <c r="A162" s="2925"/>
      <c r="B162" s="2927"/>
      <c r="C162" s="1638" t="s">
        <v>2801</v>
      </c>
      <c r="D162" s="1637"/>
      <c r="E162" s="1637"/>
      <c r="F162" s="904">
        <f>SUM(G162:L162)</f>
        <v>4539344</v>
      </c>
      <c r="G162" s="905">
        <f t="shared" ref="G162:L162" si="78">+SUM(G115:G122,G132:G139)</f>
        <v>4539344</v>
      </c>
      <c r="H162" s="905">
        <f t="shared" si="78"/>
        <v>0</v>
      </c>
      <c r="I162" s="905">
        <f t="shared" si="78"/>
        <v>0</v>
      </c>
      <c r="J162" s="905">
        <f t="shared" si="78"/>
        <v>0</v>
      </c>
      <c r="K162" s="905">
        <f t="shared" si="78"/>
        <v>0</v>
      </c>
      <c r="L162" s="906">
        <f t="shared" si="78"/>
        <v>0</v>
      </c>
    </row>
    <row r="163" spans="1:12" s="889" customFormat="1" ht="15" customHeight="1">
      <c r="A163" s="2925"/>
      <c r="B163" s="2918" t="s">
        <v>2667</v>
      </c>
      <c r="C163" s="1195" t="s">
        <v>2802</v>
      </c>
      <c r="D163" s="1639"/>
      <c r="E163" s="1590">
        <v>0</v>
      </c>
      <c r="F163" s="904">
        <f>SUM(G163:L163)</f>
        <v>0</v>
      </c>
      <c r="G163" s="905">
        <f t="shared" ref="G163:L163" si="79">+G107</f>
        <v>0</v>
      </c>
      <c r="H163" s="905">
        <f t="shared" si="79"/>
        <v>0</v>
      </c>
      <c r="I163" s="905">
        <f t="shared" si="79"/>
        <v>0</v>
      </c>
      <c r="J163" s="905">
        <f t="shared" si="79"/>
        <v>0</v>
      </c>
      <c r="K163" s="905">
        <f t="shared" si="79"/>
        <v>0</v>
      </c>
      <c r="L163" s="906">
        <f t="shared" si="79"/>
        <v>0</v>
      </c>
    </row>
    <row r="164" spans="1:12" s="889" customFormat="1" ht="15" customHeight="1">
      <c r="A164" s="2925"/>
      <c r="B164" s="2918"/>
      <c r="C164" s="1624"/>
      <c r="D164" s="1640"/>
      <c r="E164" s="1590"/>
      <c r="F164" s="904"/>
      <c r="G164" s="905"/>
      <c r="H164" s="905"/>
      <c r="I164" s="905"/>
      <c r="J164" s="905"/>
      <c r="K164" s="905"/>
      <c r="L164" s="906"/>
    </row>
    <row r="165" spans="1:12" s="889" customFormat="1" ht="15" customHeight="1">
      <c r="A165" s="2925"/>
      <c r="B165" s="2926"/>
      <c r="C165" s="1641"/>
      <c r="D165" s="1642"/>
      <c r="E165" s="1643"/>
      <c r="F165" s="939"/>
      <c r="G165" s="1064"/>
      <c r="H165" s="1064"/>
      <c r="I165" s="1064"/>
      <c r="J165" s="1064"/>
      <c r="K165" s="1064"/>
      <c r="L165" s="1065"/>
    </row>
    <row r="166" spans="1:12" s="889" customFormat="1" ht="15" customHeight="1">
      <c r="A166" s="1558"/>
      <c r="B166" s="1559"/>
      <c r="C166" s="1644"/>
      <c r="D166" s="1645"/>
      <c r="E166" s="1646"/>
      <c r="F166" s="900"/>
      <c r="G166" s="1068"/>
      <c r="H166" s="1068"/>
      <c r="I166" s="1068"/>
      <c r="J166" s="1068"/>
      <c r="K166" s="1068"/>
      <c r="L166" s="1069"/>
    </row>
    <row r="167" spans="1:12" s="889" customFormat="1" ht="15" customHeight="1">
      <c r="A167" s="2911" t="s">
        <v>2668</v>
      </c>
      <c r="B167" s="2911"/>
      <c r="C167" s="2928"/>
      <c r="D167" s="1647"/>
      <c r="E167" s="1648"/>
      <c r="F167" s="939"/>
      <c r="G167" s="1064"/>
      <c r="H167" s="1064"/>
      <c r="I167" s="1064"/>
      <c r="J167" s="1064"/>
      <c r="K167" s="1064"/>
      <c r="L167" s="1065"/>
    </row>
    <row r="168" spans="1:12" s="889" customFormat="1" ht="15" customHeight="1">
      <c r="A168" s="1649"/>
      <c r="B168" s="1048" t="s">
        <v>161</v>
      </c>
      <c r="C168" s="1650" t="s">
        <v>2803</v>
      </c>
      <c r="D168" s="1632"/>
      <c r="E168" s="1651">
        <f>+E158</f>
        <v>0.1724</v>
      </c>
      <c r="F168" s="900">
        <f>INT(F158*E168)</f>
        <v>211379</v>
      </c>
      <c r="G168" s="1068">
        <f>F168-SUM(H168:L168)</f>
        <v>211379</v>
      </c>
      <c r="H168" s="1068">
        <f t="shared" ref="H168:L170" si="80">IF(H158=0,0,ROUND($F168/$F158*H158,0))</f>
        <v>0</v>
      </c>
      <c r="I168" s="1068">
        <f t="shared" si="80"/>
        <v>0</v>
      </c>
      <c r="J168" s="1068">
        <f t="shared" si="80"/>
        <v>0</v>
      </c>
      <c r="K168" s="1068">
        <f t="shared" si="80"/>
        <v>0</v>
      </c>
      <c r="L168" s="1069">
        <f t="shared" si="80"/>
        <v>0</v>
      </c>
    </row>
    <row r="169" spans="1:12" s="889" customFormat="1" ht="15" customHeight="1">
      <c r="A169" s="1649"/>
      <c r="B169" s="2918" t="s">
        <v>2664</v>
      </c>
      <c r="C169" s="1634" t="s">
        <v>2665</v>
      </c>
      <c r="D169" s="1639"/>
      <c r="E169" s="1548">
        <f>+E159</f>
        <v>0.05</v>
      </c>
      <c r="F169" s="904">
        <f>INT(F159*E169)</f>
        <v>33601</v>
      </c>
      <c r="G169" s="905">
        <f>F169-SUM(H169:L169)</f>
        <v>33601</v>
      </c>
      <c r="H169" s="905">
        <f t="shared" si="80"/>
        <v>0</v>
      </c>
      <c r="I169" s="905">
        <f t="shared" si="80"/>
        <v>0</v>
      </c>
      <c r="J169" s="905">
        <f t="shared" si="80"/>
        <v>0</v>
      </c>
      <c r="K169" s="905">
        <f t="shared" si="80"/>
        <v>0</v>
      </c>
      <c r="L169" s="906">
        <f t="shared" si="80"/>
        <v>0</v>
      </c>
    </row>
    <row r="170" spans="1:12" s="889" customFormat="1" ht="15" customHeight="1">
      <c r="A170" s="1649"/>
      <c r="B170" s="2918"/>
      <c r="C170" s="1634" t="s">
        <v>2666</v>
      </c>
      <c r="D170" s="1639"/>
      <c r="E170" s="1548">
        <f>+E160</f>
        <v>4.0000000000000002E-4</v>
      </c>
      <c r="F170" s="904">
        <f>INT(F160*E170)</f>
        <v>2306</v>
      </c>
      <c r="G170" s="905">
        <f>F170-SUM(H170:L170)</f>
        <v>2306</v>
      </c>
      <c r="H170" s="905">
        <f t="shared" si="80"/>
        <v>0</v>
      </c>
      <c r="I170" s="905">
        <f t="shared" si="80"/>
        <v>0</v>
      </c>
      <c r="J170" s="905">
        <f t="shared" si="80"/>
        <v>0</v>
      </c>
      <c r="K170" s="905">
        <f t="shared" si="80"/>
        <v>0</v>
      </c>
      <c r="L170" s="906">
        <f t="shared" si="80"/>
        <v>0</v>
      </c>
    </row>
    <row r="171" spans="1:12" s="889" customFormat="1" ht="15" customHeight="1">
      <c r="A171" s="1649"/>
      <c r="B171" s="2926" t="s">
        <v>2800</v>
      </c>
      <c r="C171" s="1634"/>
      <c r="D171" s="1637"/>
      <c r="E171" s="1652" t="s">
        <v>2804</v>
      </c>
      <c r="F171" s="904"/>
      <c r="G171" s="905"/>
      <c r="H171" s="905"/>
      <c r="I171" s="905"/>
      <c r="J171" s="905"/>
      <c r="K171" s="905"/>
      <c r="L171" s="906"/>
    </row>
    <row r="172" spans="1:12" s="889" customFormat="1" ht="15" customHeight="1">
      <c r="A172" s="1649"/>
      <c r="B172" s="2927"/>
      <c r="C172" s="1638" t="s">
        <v>2801</v>
      </c>
      <c r="D172" s="1637"/>
      <c r="E172" s="1637"/>
      <c r="F172" s="904">
        <f>SUM(G172:L172)</f>
        <v>460656</v>
      </c>
      <c r="G172" s="905">
        <f t="shared" ref="G172:L172" si="81">SUM(G90:G97)-SUM(G115:G122)-SUM(G132:G139)</f>
        <v>460656</v>
      </c>
      <c r="H172" s="905">
        <f t="shared" si="81"/>
        <v>0</v>
      </c>
      <c r="I172" s="905">
        <f t="shared" si="81"/>
        <v>0</v>
      </c>
      <c r="J172" s="905">
        <f t="shared" si="81"/>
        <v>0</v>
      </c>
      <c r="K172" s="905">
        <f t="shared" si="81"/>
        <v>0</v>
      </c>
      <c r="L172" s="906">
        <f t="shared" si="81"/>
        <v>0</v>
      </c>
    </row>
    <row r="173" spans="1:12" s="889" customFormat="1" ht="15" customHeight="1">
      <c r="A173" s="1649"/>
      <c r="B173" s="2918" t="s">
        <v>2667</v>
      </c>
      <c r="C173" s="1195" t="s">
        <v>2802</v>
      </c>
      <c r="D173" s="1639"/>
      <c r="E173" s="1548">
        <f>+E163</f>
        <v>0</v>
      </c>
      <c r="F173" s="904">
        <f>SUM(G173:L173)</f>
        <v>0</v>
      </c>
      <c r="G173" s="905">
        <f t="shared" ref="G173:L173" si="82">ROUNDDOWN($E173*$D173*G163,0)</f>
        <v>0</v>
      </c>
      <c r="H173" s="905">
        <f t="shared" si="82"/>
        <v>0</v>
      </c>
      <c r="I173" s="905">
        <f t="shared" si="82"/>
        <v>0</v>
      </c>
      <c r="J173" s="905">
        <f t="shared" si="82"/>
        <v>0</v>
      </c>
      <c r="K173" s="905">
        <f t="shared" si="82"/>
        <v>0</v>
      </c>
      <c r="L173" s="906">
        <f t="shared" si="82"/>
        <v>0</v>
      </c>
    </row>
    <row r="174" spans="1:12" s="889" customFormat="1" ht="15" customHeight="1">
      <c r="A174" s="1649"/>
      <c r="B174" s="2918"/>
      <c r="C174" s="1624"/>
      <c r="D174" s="1640"/>
      <c r="E174" s="1637">
        <f>+G165</f>
        <v>0</v>
      </c>
      <c r="F174" s="904"/>
      <c r="G174" s="905"/>
      <c r="H174" s="905"/>
      <c r="I174" s="905"/>
      <c r="J174" s="905"/>
      <c r="K174" s="905"/>
      <c r="L174" s="906"/>
    </row>
    <row r="175" spans="1:12" s="889" customFormat="1" ht="15" customHeight="1">
      <c r="A175" s="1653"/>
      <c r="B175" s="2931"/>
      <c r="C175" s="1612"/>
      <c r="D175" s="1642"/>
      <c r="E175" s="1648">
        <f>+G166</f>
        <v>0</v>
      </c>
      <c r="F175" s="939"/>
      <c r="G175" s="1064"/>
      <c r="H175" s="1064"/>
      <c r="I175" s="1064"/>
      <c r="J175" s="1064"/>
      <c r="K175" s="1064"/>
      <c r="L175" s="1065"/>
    </row>
    <row r="176" spans="1:12" s="889" customFormat="1" ht="15" customHeight="1">
      <c r="A176" s="1616"/>
      <c r="B176" s="1617"/>
      <c r="C176" s="1617"/>
      <c r="D176" s="1654"/>
      <c r="E176" s="1654"/>
      <c r="F176" s="900"/>
      <c r="G176" s="1068"/>
      <c r="H176" s="1068"/>
      <c r="I176" s="1068"/>
      <c r="J176" s="1068"/>
      <c r="K176" s="1068"/>
      <c r="L176" s="1069"/>
    </row>
    <row r="177" spans="1:12" s="889" customFormat="1" ht="15" customHeight="1">
      <c r="A177" s="1621"/>
      <c r="B177" s="1622"/>
      <c r="C177" s="1655" t="s">
        <v>2672</v>
      </c>
      <c r="D177" s="1624"/>
      <c r="E177" s="1634"/>
      <c r="F177" s="904">
        <f>SUM(G177:L177)</f>
        <v>707942</v>
      </c>
      <c r="G177" s="905">
        <f t="shared" ref="G177:L177" si="83">SUM(G168:G175)</f>
        <v>707942</v>
      </c>
      <c r="H177" s="905">
        <f t="shared" si="83"/>
        <v>0</v>
      </c>
      <c r="I177" s="905">
        <f t="shared" si="83"/>
        <v>0</v>
      </c>
      <c r="J177" s="905">
        <f t="shared" si="83"/>
        <v>0</v>
      </c>
      <c r="K177" s="905">
        <f t="shared" si="83"/>
        <v>0</v>
      </c>
      <c r="L177" s="906">
        <f t="shared" si="83"/>
        <v>0</v>
      </c>
    </row>
    <row r="178" spans="1:12" s="889" customFormat="1" ht="15" customHeight="1">
      <c r="A178" s="1621"/>
      <c r="B178" s="1622"/>
      <c r="C178" s="1655" t="s">
        <v>2653</v>
      </c>
      <c r="D178" s="1624"/>
      <c r="E178" s="1634"/>
      <c r="F178" s="904">
        <f>SUM(G178:L178)</f>
        <v>5765444</v>
      </c>
      <c r="G178" s="905">
        <f t="shared" ref="G178:L178" si="84">+G153</f>
        <v>5765444</v>
      </c>
      <c r="H178" s="905">
        <f t="shared" si="84"/>
        <v>0</v>
      </c>
      <c r="I178" s="905">
        <f t="shared" si="84"/>
        <v>0</v>
      </c>
      <c r="J178" s="905">
        <f t="shared" si="84"/>
        <v>0</v>
      </c>
      <c r="K178" s="905">
        <f t="shared" si="84"/>
        <v>0</v>
      </c>
      <c r="L178" s="906">
        <f t="shared" si="84"/>
        <v>0</v>
      </c>
    </row>
    <row r="179" spans="1:12" s="889" customFormat="1" ht="15" customHeight="1" thickBot="1">
      <c r="A179" s="1656"/>
      <c r="B179" s="1657"/>
      <c r="C179" s="1658" t="s">
        <v>2673</v>
      </c>
      <c r="D179" s="1659"/>
      <c r="E179" s="1660"/>
      <c r="F179" s="1135">
        <f>SUM(G179:L179)</f>
        <v>6473386</v>
      </c>
      <c r="G179" s="1219">
        <f t="shared" ref="G179:L179" si="85">SUM(G177:G178)</f>
        <v>6473386</v>
      </c>
      <c r="H179" s="1219">
        <f t="shared" si="85"/>
        <v>0</v>
      </c>
      <c r="I179" s="1219">
        <f t="shared" si="85"/>
        <v>0</v>
      </c>
      <c r="J179" s="1219">
        <f t="shared" si="85"/>
        <v>0</v>
      </c>
      <c r="K179" s="1219">
        <f t="shared" si="85"/>
        <v>0</v>
      </c>
      <c r="L179" s="1220">
        <f t="shared" si="85"/>
        <v>0</v>
      </c>
    </row>
    <row r="180" spans="1:12" s="889" customFormat="1" ht="15" customHeight="1" thickTop="1">
      <c r="A180" s="1649"/>
      <c r="B180" s="1034"/>
      <c r="C180" s="1034"/>
      <c r="D180" s="1296"/>
      <c r="E180" s="1296"/>
      <c r="F180" s="919"/>
      <c r="G180" s="1066"/>
      <c r="H180" s="1066"/>
      <c r="I180" s="1066"/>
      <c r="J180" s="1066"/>
      <c r="K180" s="1066"/>
      <c r="L180" s="1661"/>
    </row>
    <row r="181" spans="1:12" s="889" customFormat="1" ht="15" customHeight="1">
      <c r="A181" s="1621"/>
      <c r="B181" s="1622"/>
      <c r="C181" s="1655" t="s">
        <v>2653</v>
      </c>
      <c r="D181" s="1624"/>
      <c r="E181" s="1634"/>
      <c r="F181" s="904">
        <f>SUM(G181:L181)</f>
        <v>5765444</v>
      </c>
      <c r="G181" s="905">
        <f t="shared" ref="G181:L181" si="86">+G178</f>
        <v>5765444</v>
      </c>
      <c r="H181" s="905">
        <f t="shared" si="86"/>
        <v>0</v>
      </c>
      <c r="I181" s="905">
        <f t="shared" si="86"/>
        <v>0</v>
      </c>
      <c r="J181" s="905">
        <f t="shared" si="86"/>
        <v>0</v>
      </c>
      <c r="K181" s="905">
        <f t="shared" si="86"/>
        <v>0</v>
      </c>
      <c r="L181" s="1662">
        <f t="shared" si="86"/>
        <v>0</v>
      </c>
    </row>
    <row r="182" spans="1:12" s="889" customFormat="1" ht="15" customHeight="1">
      <c r="A182" s="1621"/>
      <c r="B182" s="1622"/>
      <c r="C182" s="1655" t="s">
        <v>2674</v>
      </c>
      <c r="D182" s="1624"/>
      <c r="E182" s="1634"/>
      <c r="F182" s="904">
        <f>SUM(G182:L182)</f>
        <v>707556</v>
      </c>
      <c r="G182" s="905">
        <f t="shared" ref="G182:L182" si="87">+G177-(G179-G184)</f>
        <v>707556</v>
      </c>
      <c r="H182" s="905">
        <f t="shared" si="87"/>
        <v>0</v>
      </c>
      <c r="I182" s="905">
        <f t="shared" si="87"/>
        <v>0</v>
      </c>
      <c r="J182" s="905">
        <f t="shared" si="87"/>
        <v>0</v>
      </c>
      <c r="K182" s="905">
        <f t="shared" si="87"/>
        <v>0</v>
      </c>
      <c r="L182" s="1662">
        <f t="shared" si="87"/>
        <v>0</v>
      </c>
    </row>
    <row r="183" spans="1:12" s="889" customFormat="1" ht="15" customHeight="1">
      <c r="A183" s="1621"/>
      <c r="B183" s="1622"/>
      <c r="C183" s="1622"/>
      <c r="D183" s="1634"/>
      <c r="E183" s="1663">
        <f>F185+SUM(H184:L184)</f>
        <v>6473000</v>
      </c>
      <c r="F183" s="904" t="s">
        <v>2675</v>
      </c>
      <c r="G183" s="905">
        <f t="shared" ref="G183:L183" si="88">+G177-G182</f>
        <v>386</v>
      </c>
      <c r="H183" s="905">
        <f t="shared" si="88"/>
        <v>0</v>
      </c>
      <c r="I183" s="905">
        <f t="shared" si="88"/>
        <v>0</v>
      </c>
      <c r="J183" s="905">
        <f t="shared" si="88"/>
        <v>0</v>
      </c>
      <c r="K183" s="1224">
        <f t="shared" si="88"/>
        <v>0</v>
      </c>
      <c r="L183" s="1664">
        <f t="shared" si="88"/>
        <v>0</v>
      </c>
    </row>
    <row r="184" spans="1:12" s="889" customFormat="1" ht="15" customHeight="1">
      <c r="A184" s="1226"/>
      <c r="B184" s="1054"/>
      <c r="C184" s="1054" t="s">
        <v>2676</v>
      </c>
      <c r="D184" s="1227"/>
      <c r="E184" s="1663">
        <f>ROUNDDOWN(E183,4-LEN(E183))</f>
        <v>6473000</v>
      </c>
      <c r="F184" s="1228">
        <f>SUM(G184:L184)</f>
        <v>6473000</v>
      </c>
      <c r="G184" s="1224">
        <f>F185-E185</f>
        <v>6473000</v>
      </c>
      <c r="H184" s="1224">
        <f>ROUNDDOWN(H179,H185)</f>
        <v>0</v>
      </c>
      <c r="I184" s="1224">
        <f>ROUNDDOWN(I179,I185)</f>
        <v>0</v>
      </c>
      <c r="J184" s="1224">
        <f>ROUNDDOWN(J179,J185)</f>
        <v>0</v>
      </c>
      <c r="K184" s="1224">
        <f>ROUNDDOWN(K179,K185)</f>
        <v>0</v>
      </c>
      <c r="L184" s="1664">
        <f>ROUNDDOWN(L179,L185)</f>
        <v>0</v>
      </c>
    </row>
    <row r="185" spans="1:12" s="889" customFormat="1" ht="15" customHeight="1">
      <c r="A185" s="1229"/>
      <c r="B185" s="1230"/>
      <c r="C185" s="1230"/>
      <c r="D185" s="1231"/>
      <c r="E185" s="1233">
        <f>E183-E184</f>
        <v>0</v>
      </c>
      <c r="F185" s="1233">
        <f>ROUNDDOWN(G179,G185)</f>
        <v>6473000</v>
      </c>
      <c r="G185" s="1232">
        <f t="shared" ref="G185:L185" si="89">IF(LEN(G179)&lt;=7,-3,IF(LEN(G179)=8,-4,IF(LEN(G179)&gt;=9,-5,-6)))</f>
        <v>-3</v>
      </c>
      <c r="H185" s="1232">
        <f t="shared" si="89"/>
        <v>-3</v>
      </c>
      <c r="I185" s="1232">
        <f t="shared" si="89"/>
        <v>-3</v>
      </c>
      <c r="J185" s="1232">
        <f t="shared" si="89"/>
        <v>-3</v>
      </c>
      <c r="K185" s="1232">
        <f t="shared" si="89"/>
        <v>-3</v>
      </c>
      <c r="L185" s="1665">
        <f t="shared" si="89"/>
        <v>-3</v>
      </c>
    </row>
    <row r="186" spans="1:12" s="1278" customFormat="1" ht="13.5" customHeight="1">
      <c r="G186" s="1279"/>
      <c r="H186" s="1279"/>
      <c r="I186" s="1279"/>
      <c r="J186" s="1279"/>
      <c r="K186" s="1279"/>
      <c r="L186" s="1279"/>
    </row>
    <row r="187" spans="1:12" s="1278" customFormat="1" ht="13.5" hidden="1" customHeight="1">
      <c r="A187" s="1238"/>
      <c r="B187" s="1239"/>
      <c r="C187" s="1240" t="s">
        <v>2692</v>
      </c>
      <c r="D187" s="1241"/>
      <c r="E187" s="1239"/>
      <c r="F187" s="1242" t="s">
        <v>2678</v>
      </c>
      <c r="G187" s="1666">
        <f t="shared" ref="G187:L187" si="90">+G195</f>
        <v>3.5</v>
      </c>
      <c r="H187" s="1666">
        <f t="shared" si="90"/>
        <v>0</v>
      </c>
      <c r="I187" s="1666">
        <f t="shared" si="90"/>
        <v>0</v>
      </c>
      <c r="J187" s="1666">
        <f t="shared" si="90"/>
        <v>0</v>
      </c>
      <c r="K187" s="1666">
        <f t="shared" si="90"/>
        <v>0</v>
      </c>
      <c r="L187" s="1666">
        <f t="shared" si="90"/>
        <v>0</v>
      </c>
    </row>
    <row r="188" spans="1:12" s="1278" customFormat="1" ht="13.5" hidden="1" customHeight="1">
      <c r="A188" s="2802"/>
      <c r="B188" s="2805" t="s">
        <v>2679</v>
      </c>
      <c r="C188" s="1245" t="s">
        <v>2693</v>
      </c>
      <c r="D188" s="1054"/>
      <c r="E188" s="1246"/>
      <c r="F188" s="1247" t="s">
        <v>2805</v>
      </c>
      <c r="G188" s="1667">
        <f t="shared" ref="G188:L188" si="91">IF($F112&lt;=10000000,ROUND(151.08*((10000)^-0.3396)*(G187^0.586),2),ROUND(151.08*(($F112/1000)^-0.3396)*(G187^0.586),2))</f>
        <v>13.79</v>
      </c>
      <c r="H188" s="1667">
        <f t="shared" si="91"/>
        <v>0</v>
      </c>
      <c r="I188" s="1667">
        <f t="shared" si="91"/>
        <v>0</v>
      </c>
      <c r="J188" s="1667">
        <f t="shared" si="91"/>
        <v>0</v>
      </c>
      <c r="K188" s="1667">
        <f t="shared" si="91"/>
        <v>0</v>
      </c>
      <c r="L188" s="1667">
        <f t="shared" si="91"/>
        <v>0</v>
      </c>
    </row>
    <row r="189" spans="1:12" s="1278" customFormat="1" ht="13.5" hidden="1" customHeight="1">
      <c r="A189" s="2803"/>
      <c r="B189" s="2806"/>
      <c r="C189" s="2808" t="s">
        <v>2695</v>
      </c>
      <c r="D189" s="1124"/>
      <c r="E189" s="1249"/>
      <c r="F189" s="1247" t="s">
        <v>2683</v>
      </c>
      <c r="G189" s="1668">
        <f t="shared" ref="G189:L189" si="92">IF($F112&lt;=10000000,ROUND(20.13,2),0)</f>
        <v>20.13</v>
      </c>
      <c r="H189" s="1668">
        <f t="shared" si="92"/>
        <v>20.13</v>
      </c>
      <c r="I189" s="1668">
        <f t="shared" si="92"/>
        <v>20.13</v>
      </c>
      <c r="J189" s="1668">
        <f t="shared" si="92"/>
        <v>20.13</v>
      </c>
      <c r="K189" s="1668">
        <f t="shared" si="92"/>
        <v>20.13</v>
      </c>
      <c r="L189" s="1668">
        <f t="shared" si="92"/>
        <v>20.13</v>
      </c>
    </row>
    <row r="190" spans="1:12" s="1278" customFormat="1" ht="13.5" hidden="1" customHeight="1">
      <c r="A190" s="2803"/>
      <c r="B190" s="2806"/>
      <c r="C190" s="2932"/>
      <c r="D190" s="1251"/>
      <c r="E190" s="1252"/>
      <c r="F190" s="1247" t="s">
        <v>2684</v>
      </c>
      <c r="G190" s="1668">
        <f t="shared" ref="G190:L190" si="93">IF($F112&lt;=10000000,ROUND(10.01,2),0)</f>
        <v>10.01</v>
      </c>
      <c r="H190" s="1668">
        <f t="shared" si="93"/>
        <v>10.01</v>
      </c>
      <c r="I190" s="1668">
        <f t="shared" si="93"/>
        <v>10.01</v>
      </c>
      <c r="J190" s="1668">
        <f t="shared" si="93"/>
        <v>10.01</v>
      </c>
      <c r="K190" s="1668">
        <f t="shared" si="93"/>
        <v>10.01</v>
      </c>
      <c r="L190" s="1668">
        <f t="shared" si="93"/>
        <v>10.01</v>
      </c>
    </row>
    <row r="191" spans="1:12" s="1278" customFormat="1" ht="13.5" hidden="1" customHeight="1">
      <c r="A191" s="2803"/>
      <c r="B191" s="2806"/>
      <c r="C191" s="2808" t="s">
        <v>2696</v>
      </c>
      <c r="D191" s="1124"/>
      <c r="E191" s="1249"/>
      <c r="F191" s="1247" t="s">
        <v>2683</v>
      </c>
      <c r="G191" s="1669">
        <f t="shared" ref="G191:L191" si="94">IF($F112&gt;10000000,ROUND(75.97*($F112/1000)^-0.1442,2),0)</f>
        <v>0</v>
      </c>
      <c r="H191" s="1669">
        <f t="shared" si="94"/>
        <v>0</v>
      </c>
      <c r="I191" s="1669">
        <f t="shared" si="94"/>
        <v>0</v>
      </c>
      <c r="J191" s="1669">
        <f t="shared" si="94"/>
        <v>0</v>
      </c>
      <c r="K191" s="1669">
        <f t="shared" si="94"/>
        <v>0</v>
      </c>
      <c r="L191" s="1669">
        <f t="shared" si="94"/>
        <v>0</v>
      </c>
    </row>
    <row r="192" spans="1:12" s="1278" customFormat="1" ht="13.5" hidden="1" customHeight="1">
      <c r="A192" s="2804"/>
      <c r="B192" s="2807"/>
      <c r="C192" s="2932"/>
      <c r="D192" s="1251"/>
      <c r="E192" s="1252"/>
      <c r="F192" s="1247" t="s">
        <v>2684</v>
      </c>
      <c r="G192" s="1669">
        <f t="shared" ref="G192:L192" si="95">IF($F112&gt;10000000,ROUND(37.76*($F112/1000)^-0.1442,2),0)</f>
        <v>0</v>
      </c>
      <c r="H192" s="1669">
        <f t="shared" si="95"/>
        <v>0</v>
      </c>
      <c r="I192" s="1669">
        <f t="shared" si="95"/>
        <v>0</v>
      </c>
      <c r="J192" s="1669">
        <f t="shared" si="95"/>
        <v>0</v>
      </c>
      <c r="K192" s="1669">
        <f t="shared" si="95"/>
        <v>0</v>
      </c>
      <c r="L192" s="1669">
        <f t="shared" si="95"/>
        <v>0</v>
      </c>
    </row>
    <row r="193" spans="1:12" s="1278" customFormat="1" ht="13.5" hidden="1" customHeight="1" thickBot="1">
      <c r="A193" s="2929" t="s">
        <v>2697</v>
      </c>
      <c r="B193" s="2930"/>
      <c r="C193" s="2930"/>
      <c r="D193" s="2933"/>
      <c r="E193" s="1670"/>
      <c r="F193" s="1671"/>
      <c r="G193" s="1672">
        <f t="shared" ref="G193:L193" si="96">IF($F112&lt;=10000000,IF(G188&gt;G189,G189,IF(G188&lt;G190,G190,G188)),IF(G188&gt;G191,G191,IF(G188&lt;G192,G192,G188)))</f>
        <v>13.79</v>
      </c>
      <c r="H193" s="1672">
        <f t="shared" si="96"/>
        <v>10.01</v>
      </c>
      <c r="I193" s="1672">
        <f t="shared" si="96"/>
        <v>10.01</v>
      </c>
      <c r="J193" s="1672">
        <f t="shared" si="96"/>
        <v>10.01</v>
      </c>
      <c r="K193" s="1672">
        <f t="shared" si="96"/>
        <v>10.01</v>
      </c>
      <c r="L193" s="1672">
        <f t="shared" si="96"/>
        <v>10.01</v>
      </c>
    </row>
    <row r="194" spans="1:12" s="1278" customFormat="1" ht="13.5" hidden="1" customHeight="1" thickBot="1">
      <c r="A194" s="889"/>
      <c r="B194" s="889"/>
      <c r="C194" s="889"/>
      <c r="D194" s="889"/>
      <c r="E194" s="889"/>
      <c r="F194" s="889"/>
      <c r="G194" s="1255"/>
      <c r="H194" s="1255"/>
      <c r="I194" s="1255"/>
      <c r="J194" s="1255"/>
      <c r="K194" s="1255"/>
      <c r="L194" s="1255"/>
    </row>
    <row r="195" spans="1:12" s="1278" customFormat="1" ht="13.5" hidden="1" customHeight="1">
      <c r="A195" s="1238"/>
      <c r="B195" s="1239"/>
      <c r="C195" s="1240" t="s">
        <v>2692</v>
      </c>
      <c r="D195" s="1241"/>
      <c r="E195" s="1239"/>
      <c r="F195" s="1242" t="s">
        <v>2678</v>
      </c>
      <c r="G195" s="1666">
        <f t="shared" ref="G195:L195" si="97">+G65</f>
        <v>3.5</v>
      </c>
      <c r="H195" s="1666">
        <f t="shared" si="97"/>
        <v>0</v>
      </c>
      <c r="I195" s="1666">
        <f t="shared" si="97"/>
        <v>0</v>
      </c>
      <c r="J195" s="1666">
        <f t="shared" si="97"/>
        <v>0</v>
      </c>
      <c r="K195" s="1666">
        <f t="shared" si="97"/>
        <v>0</v>
      </c>
      <c r="L195" s="1666">
        <f t="shared" si="97"/>
        <v>0</v>
      </c>
    </row>
    <row r="196" spans="1:12" s="1278" customFormat="1" ht="13.5" hidden="1" customHeight="1">
      <c r="A196" s="2802"/>
      <c r="B196" s="2805" t="s">
        <v>2688</v>
      </c>
      <c r="C196" s="1245" t="s">
        <v>2693</v>
      </c>
      <c r="D196" s="1054"/>
      <c r="E196" s="1246"/>
      <c r="F196" s="1247" t="s">
        <v>2805</v>
      </c>
      <c r="G196" s="1667">
        <f t="shared" ref="G196:L196" si="98">IF($F112&lt;=5000000,ROUND(356.2*((5000)^-0.4085)*(G195^0.5766),2),ROUND(356.2*(($F112/1000)^-0.4085)*(G195^0.5766),2))</f>
        <v>22.61</v>
      </c>
      <c r="H196" s="1667">
        <f t="shared" si="98"/>
        <v>0</v>
      </c>
      <c r="I196" s="1667">
        <f t="shared" si="98"/>
        <v>0</v>
      </c>
      <c r="J196" s="1667">
        <f t="shared" si="98"/>
        <v>0</v>
      </c>
      <c r="K196" s="1667">
        <f t="shared" si="98"/>
        <v>0</v>
      </c>
      <c r="L196" s="1667">
        <f t="shared" si="98"/>
        <v>0</v>
      </c>
    </row>
    <row r="197" spans="1:12" s="1278" customFormat="1" ht="13.5" hidden="1" customHeight="1">
      <c r="A197" s="2803"/>
      <c r="B197" s="2806"/>
      <c r="C197" s="2808" t="s">
        <v>2698</v>
      </c>
      <c r="D197" s="1124"/>
      <c r="E197" s="1249"/>
      <c r="F197" s="1247" t="s">
        <v>2683</v>
      </c>
      <c r="G197" s="1668">
        <f t="shared" ref="G197:L197" si="99">IF($F112&lt;=5000000,ROUND(26.86,2),0)</f>
        <v>26.86</v>
      </c>
      <c r="H197" s="1668">
        <f t="shared" si="99"/>
        <v>26.86</v>
      </c>
      <c r="I197" s="1668">
        <f t="shared" si="99"/>
        <v>26.86</v>
      </c>
      <c r="J197" s="1668">
        <f t="shared" si="99"/>
        <v>26.86</v>
      </c>
      <c r="K197" s="1668">
        <f t="shared" si="99"/>
        <v>26.86</v>
      </c>
      <c r="L197" s="1668">
        <f t="shared" si="99"/>
        <v>26.86</v>
      </c>
    </row>
    <row r="198" spans="1:12" s="1278" customFormat="1" ht="13.5" hidden="1" customHeight="1">
      <c r="A198" s="2803"/>
      <c r="B198" s="2806"/>
      <c r="C198" s="2932"/>
      <c r="D198" s="1251"/>
      <c r="E198" s="1252"/>
      <c r="F198" s="1247" t="s">
        <v>2684</v>
      </c>
      <c r="G198" s="1668">
        <f t="shared" ref="G198:L198" si="100">IF($F112&lt;=5000000,ROUND(12.7,2),0)</f>
        <v>12.7</v>
      </c>
      <c r="H198" s="1668">
        <f t="shared" si="100"/>
        <v>12.7</v>
      </c>
      <c r="I198" s="1668">
        <f t="shared" si="100"/>
        <v>12.7</v>
      </c>
      <c r="J198" s="1668">
        <f t="shared" si="100"/>
        <v>12.7</v>
      </c>
      <c r="K198" s="1668">
        <f t="shared" si="100"/>
        <v>12.7</v>
      </c>
      <c r="L198" s="1668">
        <f t="shared" si="100"/>
        <v>12.7</v>
      </c>
    </row>
    <row r="199" spans="1:12" s="1278" customFormat="1" ht="13.5" hidden="1" customHeight="1">
      <c r="A199" s="2803"/>
      <c r="B199" s="2806"/>
      <c r="C199" s="2808" t="s">
        <v>2699</v>
      </c>
      <c r="D199" s="1124"/>
      <c r="E199" s="1249"/>
      <c r="F199" s="1247" t="s">
        <v>2683</v>
      </c>
      <c r="G199" s="1669">
        <f t="shared" ref="G199:L199" si="101">IF($F112&gt;5000000,ROUND(184.58*($F112/1000)^-0.2263,2),0)</f>
        <v>0</v>
      </c>
      <c r="H199" s="1669">
        <f t="shared" si="101"/>
        <v>0</v>
      </c>
      <c r="I199" s="1669">
        <f t="shared" si="101"/>
        <v>0</v>
      </c>
      <c r="J199" s="1669">
        <f t="shared" si="101"/>
        <v>0</v>
      </c>
      <c r="K199" s="1669">
        <f t="shared" si="101"/>
        <v>0</v>
      </c>
      <c r="L199" s="1669">
        <f t="shared" si="101"/>
        <v>0</v>
      </c>
    </row>
    <row r="200" spans="1:12" s="1278" customFormat="1" ht="13.5" hidden="1" customHeight="1">
      <c r="A200" s="2804"/>
      <c r="B200" s="2807"/>
      <c r="C200" s="2932"/>
      <c r="D200" s="1251"/>
      <c r="E200" s="1252"/>
      <c r="F200" s="1247" t="s">
        <v>2684</v>
      </c>
      <c r="G200" s="1669">
        <f t="shared" ref="G200:L200" si="102">IF($F112&gt;5000000,ROUND(87.29*($F112/1000)^-0.2263,2),0)</f>
        <v>0</v>
      </c>
      <c r="H200" s="1669">
        <f t="shared" si="102"/>
        <v>0</v>
      </c>
      <c r="I200" s="1669">
        <f t="shared" si="102"/>
        <v>0</v>
      </c>
      <c r="J200" s="1669">
        <f t="shared" si="102"/>
        <v>0</v>
      </c>
      <c r="K200" s="1669">
        <f t="shared" si="102"/>
        <v>0</v>
      </c>
      <c r="L200" s="1669">
        <f t="shared" si="102"/>
        <v>0</v>
      </c>
    </row>
    <row r="201" spans="1:12" s="1278" customFormat="1" ht="13.5" hidden="1" customHeight="1" thickBot="1">
      <c r="A201" s="2929" t="s">
        <v>2697</v>
      </c>
      <c r="B201" s="2930"/>
      <c r="C201" s="2930"/>
      <c r="D201" s="2930"/>
      <c r="E201" s="1673"/>
      <c r="F201" s="1671"/>
      <c r="G201" s="1674">
        <f t="shared" ref="G201:L201" si="103">IF($F112&lt;=5000000,IF(G196&gt;G197,G197,IF(G196&lt;G198,G198,G196)),IF(G196&gt;G199,G199,IF(G196&lt;G200,G200,G196)))</f>
        <v>22.61</v>
      </c>
      <c r="H201" s="1674">
        <f t="shared" si="103"/>
        <v>12.7</v>
      </c>
      <c r="I201" s="1674">
        <f t="shared" si="103"/>
        <v>12.7</v>
      </c>
      <c r="J201" s="1674">
        <f t="shared" si="103"/>
        <v>12.7</v>
      </c>
      <c r="K201" s="1674">
        <f t="shared" si="103"/>
        <v>12.7</v>
      </c>
      <c r="L201" s="1674">
        <f t="shared" si="103"/>
        <v>12.7</v>
      </c>
    </row>
    <row r="202" spans="1:12" s="1278" customFormat="1" ht="13.5" hidden="1" customHeight="1" thickBot="1">
      <c r="A202" s="889"/>
      <c r="B202" s="889"/>
      <c r="C202" s="889"/>
      <c r="D202" s="889"/>
      <c r="E202" s="889"/>
      <c r="F202" s="889"/>
      <c r="G202" s="1237"/>
      <c r="H202" s="1237"/>
      <c r="I202" s="1237"/>
      <c r="J202" s="1237"/>
      <c r="K202" s="1237"/>
      <c r="L202" s="1237"/>
    </row>
    <row r="203" spans="1:12" s="1278" customFormat="1" ht="13.5" hidden="1" customHeight="1">
      <c r="A203" s="1238"/>
      <c r="B203" s="1239"/>
      <c r="C203" s="1240" t="s">
        <v>2700</v>
      </c>
      <c r="D203" s="1241"/>
      <c r="E203" s="1239"/>
      <c r="F203" s="1242"/>
      <c r="G203" s="1262"/>
      <c r="H203" s="1263"/>
      <c r="I203" s="1264"/>
      <c r="J203" s="1264"/>
      <c r="K203" s="1264"/>
      <c r="L203" s="1264"/>
    </row>
    <row r="204" spans="1:12" s="1278" customFormat="1" ht="13.5" hidden="1" customHeight="1">
      <c r="A204" s="2802"/>
      <c r="B204" s="2805" t="s">
        <v>79</v>
      </c>
      <c r="C204" s="1245" t="s">
        <v>2701</v>
      </c>
      <c r="D204" s="1054"/>
      <c r="E204" s="1246"/>
      <c r="F204" s="1247" t="s">
        <v>2806</v>
      </c>
      <c r="G204" s="1675">
        <f>ROUND(28.978-3.173*LOG($F154/1000),2)</f>
        <v>19.18</v>
      </c>
      <c r="H204" s="1266"/>
      <c r="I204" s="1267"/>
      <c r="J204" s="1267"/>
      <c r="K204" s="1267"/>
      <c r="L204" s="1267"/>
    </row>
    <row r="205" spans="1:12" s="1278" customFormat="1" ht="13.5" hidden="1" customHeight="1">
      <c r="A205" s="2803"/>
      <c r="B205" s="2806"/>
      <c r="C205" s="1268" t="s">
        <v>2703</v>
      </c>
      <c r="D205" s="1124"/>
      <c r="E205" s="1124"/>
      <c r="F205" s="1269"/>
      <c r="G205" s="1676">
        <f>IF($F154&lt;=5000000,17.24,0)</f>
        <v>17.239999999999998</v>
      </c>
      <c r="H205" s="1271"/>
      <c r="I205" s="1272"/>
      <c r="J205" s="147"/>
      <c r="K205" s="1272"/>
      <c r="L205" s="1272"/>
    </row>
    <row r="206" spans="1:12" s="1278" customFormat="1" ht="13.5" hidden="1" customHeight="1">
      <c r="A206" s="2803"/>
      <c r="B206" s="2806"/>
      <c r="C206" s="1268" t="s">
        <v>2704</v>
      </c>
      <c r="D206" s="1124"/>
      <c r="E206" s="1054"/>
      <c r="F206" s="1269"/>
      <c r="G206" s="1676">
        <f>IF($F154&gt;3000000000,8.43,0)</f>
        <v>0</v>
      </c>
      <c r="H206" s="1273"/>
      <c r="I206" s="1274"/>
      <c r="J206" s="1274"/>
      <c r="K206" s="1274"/>
      <c r="L206" s="1274"/>
    </row>
    <row r="207" spans="1:12" s="1278" customFormat="1" ht="13.5" hidden="1" customHeight="1" thickBot="1">
      <c r="A207" s="2934" t="s">
        <v>2705</v>
      </c>
      <c r="B207" s="2935"/>
      <c r="C207" s="2935"/>
      <c r="D207" s="2935"/>
      <c r="E207" s="1677"/>
      <c r="F207" s="1678"/>
      <c r="G207" s="1679">
        <f>IF($F154&lt;=5000000,G205,IF($F154&gt;3000000000,G206,G204))</f>
        <v>17.239999999999998</v>
      </c>
      <c r="H207" s="1680"/>
      <c r="I207" s="1681"/>
      <c r="J207" s="1681"/>
      <c r="K207" s="1681"/>
      <c r="L207" s="1681"/>
    </row>
    <row r="208" spans="1:12" s="1278" customFormat="1" ht="13.5" customHeight="1">
      <c r="A208" s="1034"/>
      <c r="B208" s="1034"/>
      <c r="C208" s="1033"/>
      <c r="D208" s="1033"/>
      <c r="E208" s="1448" t="s">
        <v>2501</v>
      </c>
      <c r="F208" s="1449" t="s">
        <v>2807</v>
      </c>
      <c r="G208" s="1450"/>
      <c r="H208" s="1450"/>
      <c r="I208" s="1037"/>
      <c r="J208" s="1037"/>
      <c r="K208" s="837"/>
      <c r="L208" s="1091" t="s">
        <v>2808</v>
      </c>
    </row>
    <row r="209" spans="1:12" s="1278" customFormat="1" ht="13.5" customHeight="1">
      <c r="A209" s="1034"/>
      <c r="B209" s="1034"/>
      <c r="C209" s="1451" t="s">
        <v>2707</v>
      </c>
      <c r="D209" s="804"/>
      <c r="E209" s="1033"/>
      <c r="F209" s="1033"/>
      <c r="G209" s="1091"/>
      <c r="H209" s="1037"/>
      <c r="I209" s="1037"/>
      <c r="J209" s="1037"/>
      <c r="K209" s="1034" t="s">
        <v>2747</v>
      </c>
      <c r="L209" s="1682" t="s">
        <v>2748</v>
      </c>
    </row>
    <row r="210" spans="1:12" s="1278" customFormat="1" ht="13.5" customHeight="1">
      <c r="A210" s="1453"/>
      <c r="B210" s="1454"/>
      <c r="C210" s="872" t="s">
        <v>2510</v>
      </c>
      <c r="D210" s="873"/>
      <c r="E210" s="874"/>
      <c r="F210" s="875" t="s">
        <v>2588</v>
      </c>
      <c r="G210" s="876">
        <f t="shared" ref="G210:L210" si="104">+G8</f>
        <v>3.5</v>
      </c>
      <c r="H210" s="876">
        <f t="shared" si="104"/>
        <v>0</v>
      </c>
      <c r="I210" s="876">
        <f t="shared" si="104"/>
        <v>0</v>
      </c>
      <c r="J210" s="876">
        <f t="shared" si="104"/>
        <v>0</v>
      </c>
      <c r="K210" s="876">
        <f t="shared" si="104"/>
        <v>0</v>
      </c>
      <c r="L210" s="1683">
        <f t="shared" si="104"/>
        <v>0</v>
      </c>
    </row>
    <row r="211" spans="1:12" s="1278" customFormat="1" ht="13.5" customHeight="1">
      <c r="A211" s="1338"/>
      <c r="B211" s="1457"/>
      <c r="C211" s="1457" t="s">
        <v>2749</v>
      </c>
      <c r="D211" s="1457"/>
      <c r="E211" s="1083" t="str">
        <f>+E66</f>
        <v>無し</v>
      </c>
      <c r="F211" s="1459" t="s">
        <v>2505</v>
      </c>
      <c r="G211" s="1460" t="s">
        <v>2809</v>
      </c>
      <c r="H211" s="1460" t="s">
        <v>2809</v>
      </c>
      <c r="I211" s="1460" t="s">
        <v>2810</v>
      </c>
      <c r="J211" s="1460" t="s">
        <v>2810</v>
      </c>
      <c r="K211" s="1460" t="s">
        <v>2810</v>
      </c>
      <c r="L211" s="1684" t="s">
        <v>2810</v>
      </c>
    </row>
    <row r="212" spans="1:12" s="1278" customFormat="1" ht="13.5" customHeight="1">
      <c r="A212" s="1345"/>
      <c r="B212" s="1462"/>
      <c r="C212" s="1462" t="s">
        <v>2592</v>
      </c>
      <c r="D212" s="1462"/>
      <c r="E212" s="1044" t="str">
        <f>+E67</f>
        <v>有り</v>
      </c>
      <c r="F212" s="1464" t="s">
        <v>2593</v>
      </c>
      <c r="G212" s="1465"/>
      <c r="H212" s="1465"/>
      <c r="I212" s="1465"/>
      <c r="J212" s="1465"/>
      <c r="K212" s="1465"/>
      <c r="L212" s="1685"/>
    </row>
    <row r="213" spans="1:12" s="1278" customFormat="1" ht="13.5" customHeight="1">
      <c r="A213" s="1338"/>
      <c r="B213" s="1467" t="s">
        <v>2721</v>
      </c>
      <c r="C213" s="1468"/>
      <c r="D213" s="1468"/>
      <c r="E213" s="1469"/>
      <c r="F213" s="1470">
        <f>SUM(G213:L213)</f>
        <v>7000000</v>
      </c>
      <c r="G213" s="1686">
        <f t="shared" ref="G213:L213" si="105">+G68+G9</f>
        <v>7000000</v>
      </c>
      <c r="H213" s="1686">
        <f t="shared" si="105"/>
        <v>0</v>
      </c>
      <c r="I213" s="1686">
        <f t="shared" si="105"/>
        <v>0</v>
      </c>
      <c r="J213" s="1686">
        <f t="shared" si="105"/>
        <v>0</v>
      </c>
      <c r="K213" s="1686">
        <f t="shared" si="105"/>
        <v>0</v>
      </c>
      <c r="L213" s="1687">
        <f t="shared" si="105"/>
        <v>0</v>
      </c>
    </row>
    <row r="214" spans="1:12" s="1278" customFormat="1" ht="13.5" customHeight="1">
      <c r="A214" s="1345"/>
      <c r="B214" s="1473" t="s">
        <v>2750</v>
      </c>
      <c r="C214" s="1340"/>
      <c r="D214" s="1340"/>
      <c r="E214" s="1341"/>
      <c r="F214" s="1342">
        <f>SUM(G214:L214)</f>
        <v>1100000</v>
      </c>
      <c r="G214" s="1688">
        <f t="shared" ref="G214:L215" si="106">G10+G69</f>
        <v>1100000</v>
      </c>
      <c r="H214" s="1688">
        <f t="shared" si="106"/>
        <v>0</v>
      </c>
      <c r="I214" s="1688">
        <f t="shared" si="106"/>
        <v>0</v>
      </c>
      <c r="J214" s="1688">
        <f t="shared" si="106"/>
        <v>0</v>
      </c>
      <c r="K214" s="1688">
        <f t="shared" si="106"/>
        <v>0</v>
      </c>
      <c r="L214" s="1688">
        <f t="shared" si="106"/>
        <v>0</v>
      </c>
    </row>
    <row r="215" spans="1:12" s="1278" customFormat="1" ht="13.5" customHeight="1">
      <c r="A215" s="1345"/>
      <c r="B215" s="1473"/>
      <c r="C215" s="1476" t="s">
        <v>2723</v>
      </c>
      <c r="D215" s="1476"/>
      <c r="E215" s="1477"/>
      <c r="F215" s="1478"/>
      <c r="G215" s="1689">
        <f t="shared" si="106"/>
        <v>570000</v>
      </c>
      <c r="H215" s="1689">
        <f t="shared" si="106"/>
        <v>0</v>
      </c>
      <c r="I215" s="1689">
        <f t="shared" si="106"/>
        <v>0</v>
      </c>
      <c r="J215" s="1689">
        <f t="shared" si="106"/>
        <v>0</v>
      </c>
      <c r="K215" s="1689">
        <f t="shared" si="106"/>
        <v>0</v>
      </c>
      <c r="L215" s="1689">
        <f t="shared" si="106"/>
        <v>0</v>
      </c>
    </row>
    <row r="216" spans="1:12" s="1278" customFormat="1" ht="13.5" customHeight="1">
      <c r="A216" s="1338"/>
      <c r="B216" s="1481" t="s">
        <v>2811</v>
      </c>
      <c r="C216" s="1482"/>
      <c r="D216" s="1482"/>
      <c r="E216" s="1483"/>
      <c r="F216" s="1470">
        <f>SUM(G216:L216)</f>
        <v>6902196</v>
      </c>
      <c r="G216" s="898">
        <f t="shared" ref="G216:L216" si="107">SUM(G258:G271)</f>
        <v>6902196</v>
      </c>
      <c r="H216" s="898">
        <f t="shared" si="107"/>
        <v>0</v>
      </c>
      <c r="I216" s="898">
        <f t="shared" si="107"/>
        <v>0</v>
      </c>
      <c r="J216" s="898">
        <f t="shared" si="107"/>
        <v>0</v>
      </c>
      <c r="K216" s="898">
        <f t="shared" si="107"/>
        <v>0</v>
      </c>
      <c r="L216" s="899">
        <f t="shared" si="107"/>
        <v>0</v>
      </c>
    </row>
    <row r="217" spans="1:12" s="1278" customFormat="1" ht="13.5" customHeight="1">
      <c r="A217" s="1345"/>
      <c r="B217" s="1462"/>
      <c r="C217" s="1484" t="s">
        <v>2752</v>
      </c>
      <c r="D217" s="1485"/>
      <c r="E217" s="1486"/>
      <c r="F217" s="1342">
        <f>SUM(G217:L217)</f>
        <v>5908196</v>
      </c>
      <c r="G217" s="1487">
        <f t="shared" ref="G217:L217" si="108">G216-G220</f>
        <v>5908196</v>
      </c>
      <c r="H217" s="1487">
        <f t="shared" si="108"/>
        <v>0</v>
      </c>
      <c r="I217" s="1487">
        <f t="shared" si="108"/>
        <v>0</v>
      </c>
      <c r="J217" s="1487">
        <f t="shared" si="108"/>
        <v>0</v>
      </c>
      <c r="K217" s="1487">
        <f t="shared" si="108"/>
        <v>0</v>
      </c>
      <c r="L217" s="1488">
        <f t="shared" si="108"/>
        <v>0</v>
      </c>
    </row>
    <row r="218" spans="1:12" s="1278" customFormat="1" ht="13.5" customHeight="1">
      <c r="A218" s="1345"/>
      <c r="B218" s="1462"/>
      <c r="C218" s="1489"/>
      <c r="D218" s="1489"/>
      <c r="E218" s="1490"/>
      <c r="F218" s="1349" t="s">
        <v>2753</v>
      </c>
      <c r="G218" s="1491">
        <f t="shared" ref="G218:L218" si="109">SUM(G260:G271)</f>
        <v>5332196</v>
      </c>
      <c r="H218" s="1491">
        <f t="shared" si="109"/>
        <v>0</v>
      </c>
      <c r="I218" s="1491">
        <f t="shared" si="109"/>
        <v>0</v>
      </c>
      <c r="J218" s="1491">
        <f t="shared" si="109"/>
        <v>0</v>
      </c>
      <c r="K218" s="1491">
        <f t="shared" si="109"/>
        <v>0</v>
      </c>
      <c r="L218" s="1492">
        <f t="shared" si="109"/>
        <v>0</v>
      </c>
    </row>
    <row r="219" spans="1:12" s="1278" customFormat="1" ht="13.5" customHeight="1">
      <c r="A219" s="1345"/>
      <c r="B219" s="1462"/>
      <c r="C219" s="1489"/>
      <c r="D219" s="1489"/>
      <c r="E219" s="1490"/>
      <c r="F219" s="1349" t="s">
        <v>2599</v>
      </c>
      <c r="G219" s="1491">
        <f t="shared" ref="G219:L219" si="110">SUM(G260:G267,G252)</f>
        <v>5332196</v>
      </c>
      <c r="H219" s="1491">
        <f t="shared" si="110"/>
        <v>0</v>
      </c>
      <c r="I219" s="1491">
        <f t="shared" si="110"/>
        <v>0</v>
      </c>
      <c r="J219" s="1491">
        <f t="shared" si="110"/>
        <v>0</v>
      </c>
      <c r="K219" s="1491">
        <f t="shared" si="110"/>
        <v>0</v>
      </c>
      <c r="L219" s="1492">
        <f t="shared" si="110"/>
        <v>0</v>
      </c>
    </row>
    <row r="220" spans="1:12" s="1278" customFormat="1" ht="13.5" customHeight="1">
      <c r="A220" s="1493"/>
      <c r="B220" s="1476"/>
      <c r="C220" s="1494" t="s">
        <v>2754</v>
      </c>
      <c r="D220" s="1494"/>
      <c r="E220" s="1495"/>
      <c r="F220" s="1355">
        <f t="shared" ref="F220:F229" si="111">SUM(G220:L220)</f>
        <v>994000</v>
      </c>
      <c r="G220" s="1064">
        <f t="shared" ref="G220:L220" si="112">+G260+G247+G249+G252+G251+G215</f>
        <v>994000</v>
      </c>
      <c r="H220" s="1064">
        <f t="shared" si="112"/>
        <v>0</v>
      </c>
      <c r="I220" s="1064">
        <f t="shared" si="112"/>
        <v>0</v>
      </c>
      <c r="J220" s="1064">
        <f t="shared" si="112"/>
        <v>0</v>
      </c>
      <c r="K220" s="1064">
        <f t="shared" si="112"/>
        <v>0</v>
      </c>
      <c r="L220" s="1064">
        <f t="shared" si="112"/>
        <v>0</v>
      </c>
    </row>
    <row r="221" spans="1:12" s="1278" customFormat="1" ht="13.5" customHeight="1">
      <c r="A221" s="1345"/>
      <c r="B221" s="1496" t="s">
        <v>2755</v>
      </c>
      <c r="C221" s="1496"/>
      <c r="D221" s="1496"/>
      <c r="E221" s="1497"/>
      <c r="F221" s="1498">
        <f t="shared" si="111"/>
        <v>1933804</v>
      </c>
      <c r="G221" s="1499">
        <f t="shared" ref="G221:L221" si="113">G222+G225</f>
        <v>1933804</v>
      </c>
      <c r="H221" s="1499">
        <f t="shared" si="113"/>
        <v>0</v>
      </c>
      <c r="I221" s="1499">
        <f t="shared" si="113"/>
        <v>0</v>
      </c>
      <c r="J221" s="1499">
        <f t="shared" si="113"/>
        <v>0</v>
      </c>
      <c r="K221" s="1499">
        <f t="shared" si="113"/>
        <v>0</v>
      </c>
      <c r="L221" s="1500">
        <f t="shared" si="113"/>
        <v>0</v>
      </c>
    </row>
    <row r="222" spans="1:12" s="1278" customFormat="1" ht="13.5" customHeight="1">
      <c r="A222" s="1345"/>
      <c r="B222" s="1462"/>
      <c r="C222" s="1501" t="s">
        <v>2603</v>
      </c>
      <c r="D222" s="1501"/>
      <c r="E222" s="1502"/>
      <c r="F222" s="1342">
        <f t="shared" si="111"/>
        <v>953879</v>
      </c>
      <c r="G222" s="1487">
        <f t="shared" ref="G222:L222" si="114">SUM(G223:G224)</f>
        <v>953879</v>
      </c>
      <c r="H222" s="1487">
        <f t="shared" si="114"/>
        <v>0</v>
      </c>
      <c r="I222" s="1487">
        <f t="shared" si="114"/>
        <v>0</v>
      </c>
      <c r="J222" s="1487">
        <f t="shared" si="114"/>
        <v>0</v>
      </c>
      <c r="K222" s="1487">
        <f t="shared" si="114"/>
        <v>0</v>
      </c>
      <c r="L222" s="1488">
        <f t="shared" si="114"/>
        <v>0</v>
      </c>
    </row>
    <row r="223" spans="1:12" s="1278" customFormat="1" ht="13.5" customHeight="1">
      <c r="A223" s="1345"/>
      <c r="B223" s="1462"/>
      <c r="C223" s="1347" t="s">
        <v>2605</v>
      </c>
      <c r="D223" s="1347"/>
      <c r="E223" s="1490"/>
      <c r="F223" s="1349">
        <f t="shared" si="111"/>
        <v>354977</v>
      </c>
      <c r="G223" s="1491">
        <f t="shared" ref="G223:L223" si="115">+G274+G276</f>
        <v>354977</v>
      </c>
      <c r="H223" s="1491">
        <f t="shared" si="115"/>
        <v>0</v>
      </c>
      <c r="I223" s="1491">
        <f t="shared" si="115"/>
        <v>0</v>
      </c>
      <c r="J223" s="1491">
        <f t="shared" si="115"/>
        <v>0</v>
      </c>
      <c r="K223" s="1491">
        <f t="shared" si="115"/>
        <v>0</v>
      </c>
      <c r="L223" s="1492">
        <f t="shared" si="115"/>
        <v>0</v>
      </c>
    </row>
    <row r="224" spans="1:12" s="1278" customFormat="1" ht="13.5" customHeight="1">
      <c r="A224" s="1345"/>
      <c r="B224" s="1462"/>
      <c r="C224" s="1347" t="s">
        <v>2610</v>
      </c>
      <c r="D224" s="1347"/>
      <c r="E224" s="1490"/>
      <c r="F224" s="1349">
        <f t="shared" si="111"/>
        <v>598902</v>
      </c>
      <c r="G224" s="1491">
        <f>SUM(G277:G291)</f>
        <v>598902</v>
      </c>
      <c r="H224" s="1491">
        <f>SUM(H277:H290)</f>
        <v>0</v>
      </c>
      <c r="I224" s="1491">
        <f>SUM(I277:I290)</f>
        <v>0</v>
      </c>
      <c r="J224" s="1491">
        <f>SUM(J277:J290)</f>
        <v>0</v>
      </c>
      <c r="K224" s="1491">
        <f>SUM(K277:K290)</f>
        <v>0</v>
      </c>
      <c r="L224" s="1492">
        <f>SUM(L277:L290)</f>
        <v>0</v>
      </c>
    </row>
    <row r="225" spans="1:12" s="1510" customFormat="1" ht="13.5" customHeight="1">
      <c r="A225" s="1503"/>
      <c r="B225" s="1504"/>
      <c r="C225" s="1505" t="s">
        <v>2608</v>
      </c>
      <c r="D225" s="1505"/>
      <c r="E225" s="1506"/>
      <c r="F225" s="1507">
        <f t="shared" si="111"/>
        <v>979925</v>
      </c>
      <c r="G225" s="1508">
        <f t="shared" ref="G225:L225" si="116">SUM(G226:G228)</f>
        <v>979925</v>
      </c>
      <c r="H225" s="1508">
        <f t="shared" si="116"/>
        <v>0</v>
      </c>
      <c r="I225" s="1508">
        <f t="shared" si="116"/>
        <v>0</v>
      </c>
      <c r="J225" s="1508">
        <f t="shared" si="116"/>
        <v>0</v>
      </c>
      <c r="K225" s="1508">
        <f t="shared" si="116"/>
        <v>0</v>
      </c>
      <c r="L225" s="1509">
        <f t="shared" si="116"/>
        <v>0</v>
      </c>
    </row>
    <row r="226" spans="1:12" s="1510" customFormat="1" ht="13.5" customHeight="1">
      <c r="A226" s="1503"/>
      <c r="B226" s="1504"/>
      <c r="C226" s="1511" t="s">
        <v>2605</v>
      </c>
      <c r="D226" s="1511"/>
      <c r="E226" s="1506"/>
      <c r="F226" s="1507">
        <f t="shared" si="111"/>
        <v>331343</v>
      </c>
      <c r="G226" s="1508">
        <f t="shared" ref="G226:L226" si="117">+G313-G328</f>
        <v>331343</v>
      </c>
      <c r="H226" s="1508">
        <f t="shared" si="117"/>
        <v>0</v>
      </c>
      <c r="I226" s="1508">
        <f t="shared" si="117"/>
        <v>0</v>
      </c>
      <c r="J226" s="1508">
        <f t="shared" si="117"/>
        <v>0</v>
      </c>
      <c r="K226" s="1508">
        <f t="shared" si="117"/>
        <v>0</v>
      </c>
      <c r="L226" s="1509">
        <f t="shared" si="117"/>
        <v>0</v>
      </c>
    </row>
    <row r="227" spans="1:12" s="1510" customFormat="1" ht="13.5" customHeight="1">
      <c r="A227" s="1503"/>
      <c r="B227" s="1504"/>
      <c r="C227" s="1511" t="s">
        <v>2609</v>
      </c>
      <c r="D227" s="1511"/>
      <c r="E227" s="1506"/>
      <c r="F227" s="1507">
        <f t="shared" si="111"/>
        <v>49680</v>
      </c>
      <c r="G227" s="1508">
        <f t="shared" ref="G227:L227" si="118">+G314+G315</f>
        <v>49680</v>
      </c>
      <c r="H227" s="1508">
        <f t="shared" si="118"/>
        <v>0</v>
      </c>
      <c r="I227" s="1508">
        <f t="shared" si="118"/>
        <v>0</v>
      </c>
      <c r="J227" s="1508">
        <f t="shared" si="118"/>
        <v>0</v>
      </c>
      <c r="K227" s="1508">
        <f t="shared" si="118"/>
        <v>0</v>
      </c>
      <c r="L227" s="1509">
        <f t="shared" si="118"/>
        <v>0</v>
      </c>
    </row>
    <row r="228" spans="1:12" s="1510" customFormat="1" ht="13.5" customHeight="1">
      <c r="A228" s="1503"/>
      <c r="B228" s="1512"/>
      <c r="C228" s="1513" t="s">
        <v>2610</v>
      </c>
      <c r="D228" s="1513"/>
      <c r="E228" s="1514"/>
      <c r="F228" s="1515">
        <f t="shared" si="111"/>
        <v>598902</v>
      </c>
      <c r="G228" s="1516">
        <f t="shared" ref="G228:L228" si="119">SUM(G316:G320)</f>
        <v>598902</v>
      </c>
      <c r="H228" s="1516">
        <f t="shared" si="119"/>
        <v>0</v>
      </c>
      <c r="I228" s="1516">
        <f t="shared" si="119"/>
        <v>0</v>
      </c>
      <c r="J228" s="1516">
        <f t="shared" si="119"/>
        <v>0</v>
      </c>
      <c r="K228" s="1516">
        <f t="shared" si="119"/>
        <v>0</v>
      </c>
      <c r="L228" s="1517">
        <f t="shared" si="119"/>
        <v>0</v>
      </c>
    </row>
    <row r="229" spans="1:12" s="1278" customFormat="1" ht="13.5" customHeight="1">
      <c r="A229" s="1518"/>
      <c r="B229" s="1482" t="s">
        <v>2756</v>
      </c>
      <c r="C229" s="1519"/>
      <c r="D229" s="1482"/>
      <c r="E229" s="1520"/>
      <c r="F229" s="1470">
        <f t="shared" si="111"/>
        <v>8836000</v>
      </c>
      <c r="G229" s="1521">
        <f t="shared" ref="G229:L229" si="120">G216+G221</f>
        <v>8836000</v>
      </c>
      <c r="H229" s="1521">
        <f t="shared" si="120"/>
        <v>0</v>
      </c>
      <c r="I229" s="1521">
        <f t="shared" si="120"/>
        <v>0</v>
      </c>
      <c r="J229" s="1521">
        <f t="shared" si="120"/>
        <v>0</v>
      </c>
      <c r="K229" s="1521">
        <f t="shared" si="120"/>
        <v>0</v>
      </c>
      <c r="L229" s="1522">
        <f t="shared" si="120"/>
        <v>0</v>
      </c>
    </row>
    <row r="230" spans="1:12" s="1278" customFormat="1" ht="13.5" customHeight="1">
      <c r="A230" s="1345"/>
      <c r="B230" s="1462"/>
      <c r="C230" s="1523" t="s">
        <v>2812</v>
      </c>
      <c r="D230" s="1523"/>
      <c r="E230" s="1524"/>
      <c r="F230" s="1525"/>
      <c r="G230" s="1526" t="s">
        <v>2614</v>
      </c>
      <c r="H230" s="1527"/>
      <c r="I230" s="1527"/>
      <c r="J230" s="1527"/>
      <c r="K230" s="1527"/>
      <c r="L230" s="1527"/>
    </row>
    <row r="231" spans="1:12" s="1278" customFormat="1" ht="13.5" customHeight="1">
      <c r="A231" s="1338"/>
      <c r="B231" s="1457"/>
      <c r="C231" s="1457"/>
      <c r="D231" s="1457"/>
      <c r="E231" s="1459"/>
      <c r="F231" s="1459" t="s">
        <v>2505</v>
      </c>
      <c r="G231" s="1460" t="str">
        <f t="shared" ref="G231:L231" si="121">+G211</f>
        <v>◇◇◇改造工事の部</v>
      </c>
      <c r="H231" s="1460" t="str">
        <f t="shared" si="121"/>
        <v>◇◇◇改造工事の部</v>
      </c>
      <c r="I231" s="1460" t="str">
        <f t="shared" si="121"/>
        <v>◇◇◇改造工事の部</v>
      </c>
      <c r="J231" s="1460" t="str">
        <f t="shared" si="121"/>
        <v>◇◇◇改造工事の部</v>
      </c>
      <c r="K231" s="1460" t="str">
        <f t="shared" si="121"/>
        <v>◇◇◇改造工事の部</v>
      </c>
      <c r="L231" s="1461" t="str">
        <f t="shared" si="121"/>
        <v>◇◇◇改造工事の部</v>
      </c>
    </row>
    <row r="232" spans="1:12" s="1278" customFormat="1" ht="13.5" customHeight="1">
      <c r="A232" s="1528" t="s">
        <v>2757</v>
      </c>
      <c r="B232" s="1529"/>
      <c r="C232" s="1530"/>
      <c r="D232" s="1530"/>
      <c r="E232" s="1531"/>
      <c r="F232" s="1532"/>
      <c r="G232" s="1533"/>
      <c r="H232" s="1533"/>
      <c r="I232" s="1533"/>
      <c r="J232" s="1533"/>
      <c r="K232" s="1533"/>
      <c r="L232" s="1534"/>
    </row>
    <row r="233" spans="1:12" s="1278" customFormat="1" ht="13.5" customHeight="1">
      <c r="A233" s="2897"/>
      <c r="B233" s="2889" t="s">
        <v>2728</v>
      </c>
      <c r="C233" s="1485" t="s">
        <v>2530</v>
      </c>
      <c r="D233" s="1485"/>
      <c r="E233" s="1502"/>
      <c r="F233" s="1342">
        <f>SUM(G233:L233)</f>
        <v>0</v>
      </c>
      <c r="G233" s="1690">
        <f t="shared" ref="G233:L242" si="122">+G88+G16</f>
        <v>0</v>
      </c>
      <c r="H233" s="1293">
        <f t="shared" si="122"/>
        <v>0</v>
      </c>
      <c r="I233" s="1293">
        <f t="shared" si="122"/>
        <v>0</v>
      </c>
      <c r="J233" s="1293">
        <f t="shared" si="122"/>
        <v>0</v>
      </c>
      <c r="K233" s="1293">
        <f t="shared" si="122"/>
        <v>0</v>
      </c>
      <c r="L233" s="1294">
        <f t="shared" si="122"/>
        <v>0</v>
      </c>
    </row>
    <row r="234" spans="1:12" s="1278" customFormat="1" ht="13.5" customHeight="1">
      <c r="A234" s="2898"/>
      <c r="B234" s="2890"/>
      <c r="C234" s="1539" t="s">
        <v>2531</v>
      </c>
      <c r="D234" s="1539"/>
      <c r="E234" s="1490"/>
      <c r="F234" s="1349">
        <f>SUM(G234:L234)</f>
        <v>1570000</v>
      </c>
      <c r="G234" s="1293">
        <f t="shared" si="122"/>
        <v>1570000</v>
      </c>
      <c r="H234" s="1293">
        <f t="shared" si="122"/>
        <v>0</v>
      </c>
      <c r="I234" s="1293">
        <f t="shared" si="122"/>
        <v>0</v>
      </c>
      <c r="J234" s="1293">
        <f t="shared" si="122"/>
        <v>0</v>
      </c>
      <c r="K234" s="1293">
        <f t="shared" si="122"/>
        <v>0</v>
      </c>
      <c r="L234" s="1294">
        <f t="shared" si="122"/>
        <v>0</v>
      </c>
    </row>
    <row r="235" spans="1:12" s="1278" customFormat="1" ht="13.5" customHeight="1">
      <c r="A235" s="2898"/>
      <c r="B235" s="2891" t="s">
        <v>2729</v>
      </c>
      <c r="C235" s="1691" t="s">
        <v>2758</v>
      </c>
      <c r="D235" s="1539"/>
      <c r="E235" s="1490"/>
      <c r="F235" s="1349">
        <f t="shared" ref="F235:F249" si="123">SUM(G235:L235)</f>
        <v>530000</v>
      </c>
      <c r="G235" s="1293">
        <f t="shared" si="122"/>
        <v>530000</v>
      </c>
      <c r="H235" s="1293">
        <f t="shared" si="122"/>
        <v>0</v>
      </c>
      <c r="I235" s="1293">
        <f t="shared" si="122"/>
        <v>0</v>
      </c>
      <c r="J235" s="1293">
        <f t="shared" si="122"/>
        <v>0</v>
      </c>
      <c r="K235" s="1293">
        <f t="shared" si="122"/>
        <v>0</v>
      </c>
      <c r="L235" s="1294">
        <f t="shared" si="122"/>
        <v>0</v>
      </c>
    </row>
    <row r="236" spans="1:12" s="1278" customFormat="1" ht="13.5" customHeight="1">
      <c r="A236" s="2898"/>
      <c r="B236" s="2892"/>
      <c r="C236" s="1539" t="s">
        <v>2759</v>
      </c>
      <c r="D236" s="1539"/>
      <c r="E236" s="1490"/>
      <c r="F236" s="1349">
        <f t="shared" si="123"/>
        <v>500000</v>
      </c>
      <c r="G236" s="1690">
        <f t="shared" si="122"/>
        <v>500000</v>
      </c>
      <c r="H236" s="1293">
        <f t="shared" si="122"/>
        <v>0</v>
      </c>
      <c r="I236" s="1293">
        <f t="shared" si="122"/>
        <v>0</v>
      </c>
      <c r="J236" s="1293">
        <f t="shared" si="122"/>
        <v>0</v>
      </c>
      <c r="K236" s="1293">
        <f t="shared" si="122"/>
        <v>0</v>
      </c>
      <c r="L236" s="1294">
        <f t="shared" si="122"/>
        <v>0</v>
      </c>
    </row>
    <row r="237" spans="1:12" s="1278" customFormat="1" ht="13.5" customHeight="1">
      <c r="A237" s="2898"/>
      <c r="B237" s="2892"/>
      <c r="C237" s="1573" t="s">
        <v>2813</v>
      </c>
      <c r="D237" s="1539"/>
      <c r="E237" s="1490"/>
      <c r="F237" s="1349">
        <f t="shared" si="123"/>
        <v>5500000</v>
      </c>
      <c r="G237" s="1293">
        <f t="shared" si="122"/>
        <v>5500000</v>
      </c>
      <c r="H237" s="1293">
        <f t="shared" si="122"/>
        <v>0</v>
      </c>
      <c r="I237" s="1293">
        <f t="shared" si="122"/>
        <v>0</v>
      </c>
      <c r="J237" s="1293">
        <f t="shared" si="122"/>
        <v>0</v>
      </c>
      <c r="K237" s="1293">
        <f t="shared" si="122"/>
        <v>0</v>
      </c>
      <c r="L237" s="1294">
        <f t="shared" si="122"/>
        <v>0</v>
      </c>
    </row>
    <row r="238" spans="1:12" s="1278" customFormat="1" ht="13.5" customHeight="1">
      <c r="A238" s="2898"/>
      <c r="B238" s="2892"/>
      <c r="C238" s="1539" t="s">
        <v>2761</v>
      </c>
      <c r="D238" s="1539"/>
      <c r="E238" s="1490"/>
      <c r="F238" s="1349">
        <f t="shared" si="123"/>
        <v>0</v>
      </c>
      <c r="G238" s="1293">
        <f t="shared" si="122"/>
        <v>0</v>
      </c>
      <c r="H238" s="1293">
        <f t="shared" si="122"/>
        <v>0</v>
      </c>
      <c r="I238" s="1293">
        <f t="shared" si="122"/>
        <v>0</v>
      </c>
      <c r="J238" s="1293">
        <f t="shared" si="122"/>
        <v>0</v>
      </c>
      <c r="K238" s="1293">
        <f t="shared" si="122"/>
        <v>0</v>
      </c>
      <c r="L238" s="1294">
        <f t="shared" si="122"/>
        <v>0</v>
      </c>
    </row>
    <row r="239" spans="1:12" s="1278" customFormat="1" ht="13.5" customHeight="1">
      <c r="A239" s="2898"/>
      <c r="B239" s="2892"/>
      <c r="C239" s="1539" t="s">
        <v>2762</v>
      </c>
      <c r="D239" s="1539"/>
      <c r="E239" s="1490"/>
      <c r="F239" s="1349">
        <f t="shared" si="123"/>
        <v>0</v>
      </c>
      <c r="G239" s="1293">
        <f t="shared" si="122"/>
        <v>0</v>
      </c>
      <c r="H239" s="1293">
        <f t="shared" si="122"/>
        <v>0</v>
      </c>
      <c r="I239" s="1293">
        <f t="shared" si="122"/>
        <v>0</v>
      </c>
      <c r="J239" s="1293">
        <f t="shared" si="122"/>
        <v>0</v>
      </c>
      <c r="K239" s="1293">
        <f t="shared" si="122"/>
        <v>0</v>
      </c>
      <c r="L239" s="1294">
        <f t="shared" si="122"/>
        <v>0</v>
      </c>
    </row>
    <row r="240" spans="1:12" s="1278" customFormat="1" ht="13.5" customHeight="1">
      <c r="A240" s="2898"/>
      <c r="B240" s="2892"/>
      <c r="C240" s="1549" t="s">
        <v>2763</v>
      </c>
      <c r="D240" s="1539"/>
      <c r="E240" s="1490"/>
      <c r="F240" s="1349">
        <f t="shared" si="123"/>
        <v>0</v>
      </c>
      <c r="G240" s="1293">
        <f t="shared" si="122"/>
        <v>0</v>
      </c>
      <c r="H240" s="1293">
        <f t="shared" si="122"/>
        <v>0</v>
      </c>
      <c r="I240" s="1293">
        <f t="shared" si="122"/>
        <v>0</v>
      </c>
      <c r="J240" s="1293">
        <f t="shared" si="122"/>
        <v>0</v>
      </c>
      <c r="K240" s="1293">
        <f t="shared" si="122"/>
        <v>0</v>
      </c>
      <c r="L240" s="1294">
        <f t="shared" si="122"/>
        <v>0</v>
      </c>
    </row>
    <row r="241" spans="1:12" s="1278" customFormat="1" ht="13.5" customHeight="1">
      <c r="A241" s="2898"/>
      <c r="B241" s="2892"/>
      <c r="C241" s="1539"/>
      <c r="D241" s="1539"/>
      <c r="E241" s="1490"/>
      <c r="F241" s="1349">
        <f t="shared" si="123"/>
        <v>0</v>
      </c>
      <c r="G241" s="1293">
        <f t="shared" si="122"/>
        <v>0</v>
      </c>
      <c r="H241" s="1293">
        <f t="shared" si="122"/>
        <v>0</v>
      </c>
      <c r="I241" s="1293">
        <f t="shared" si="122"/>
        <v>0</v>
      </c>
      <c r="J241" s="1293">
        <f t="shared" si="122"/>
        <v>0</v>
      </c>
      <c r="K241" s="1293">
        <f t="shared" si="122"/>
        <v>0</v>
      </c>
      <c r="L241" s="1294">
        <f t="shared" si="122"/>
        <v>0</v>
      </c>
    </row>
    <row r="242" spans="1:12" s="1278" customFormat="1" ht="13.5" customHeight="1">
      <c r="A242" s="2898"/>
      <c r="B242" s="2890"/>
      <c r="C242" s="1546"/>
      <c r="D242" s="1547"/>
      <c r="E242" s="1548"/>
      <c r="F242" s="1349">
        <f t="shared" si="123"/>
        <v>0</v>
      </c>
      <c r="G242" s="1293">
        <f t="shared" si="122"/>
        <v>0</v>
      </c>
      <c r="H242" s="1293">
        <f t="shared" si="122"/>
        <v>0</v>
      </c>
      <c r="I242" s="1293">
        <f t="shared" si="122"/>
        <v>0</v>
      </c>
      <c r="J242" s="1293">
        <f t="shared" si="122"/>
        <v>0</v>
      </c>
      <c r="K242" s="1293">
        <f t="shared" si="122"/>
        <v>0</v>
      </c>
      <c r="L242" s="1294">
        <f t="shared" si="122"/>
        <v>0</v>
      </c>
    </row>
    <row r="243" spans="1:12" s="1278" customFormat="1" ht="13.5" customHeight="1">
      <c r="A243" s="2898"/>
      <c r="B243" s="2891" t="s">
        <v>477</v>
      </c>
      <c r="C243" s="1539" t="s">
        <v>2764</v>
      </c>
      <c r="D243" s="1539"/>
      <c r="E243" s="1490"/>
      <c r="F243" s="1349">
        <f t="shared" si="123"/>
        <v>0</v>
      </c>
      <c r="G243" s="1293">
        <f t="shared" ref="G243:L252" si="124">+G98+G25</f>
        <v>0</v>
      </c>
      <c r="H243" s="1293">
        <f t="shared" si="124"/>
        <v>0</v>
      </c>
      <c r="I243" s="1293">
        <f t="shared" si="124"/>
        <v>0</v>
      </c>
      <c r="J243" s="1293">
        <f t="shared" si="124"/>
        <v>0</v>
      </c>
      <c r="K243" s="1293">
        <f t="shared" si="124"/>
        <v>0</v>
      </c>
      <c r="L243" s="1294">
        <f t="shared" si="124"/>
        <v>0</v>
      </c>
    </row>
    <row r="244" spans="1:12" s="1278" customFormat="1" ht="13.5" customHeight="1">
      <c r="A244" s="2898"/>
      <c r="B244" s="2892"/>
      <c r="C244" s="1545" t="s">
        <v>2814</v>
      </c>
      <c r="D244" s="1538"/>
      <c r="E244" s="1634"/>
      <c r="F244" s="904">
        <f t="shared" si="123"/>
        <v>0</v>
      </c>
      <c r="G244" s="905">
        <f t="shared" si="124"/>
        <v>0</v>
      </c>
      <c r="H244" s="905">
        <f t="shared" si="124"/>
        <v>0</v>
      </c>
      <c r="I244" s="905">
        <f t="shared" si="124"/>
        <v>0</v>
      </c>
      <c r="J244" s="905">
        <f t="shared" si="124"/>
        <v>0</v>
      </c>
      <c r="K244" s="905">
        <f t="shared" si="124"/>
        <v>0</v>
      </c>
      <c r="L244" s="906">
        <f t="shared" si="124"/>
        <v>0</v>
      </c>
    </row>
    <row r="245" spans="1:12" s="1278" customFormat="1" ht="13.5" customHeight="1">
      <c r="A245" s="2898"/>
      <c r="B245" s="2890"/>
      <c r="C245" s="1545" t="s">
        <v>2766</v>
      </c>
      <c r="D245" s="1538"/>
      <c r="E245" s="1634"/>
      <c r="F245" s="904">
        <f t="shared" si="123"/>
        <v>0</v>
      </c>
      <c r="G245" s="905">
        <f t="shared" si="124"/>
        <v>0</v>
      </c>
      <c r="H245" s="905">
        <f t="shared" si="124"/>
        <v>0</v>
      </c>
      <c r="I245" s="905">
        <f t="shared" si="124"/>
        <v>0</v>
      </c>
      <c r="J245" s="905">
        <f t="shared" si="124"/>
        <v>0</v>
      </c>
      <c r="K245" s="905">
        <f t="shared" si="124"/>
        <v>0</v>
      </c>
      <c r="L245" s="906">
        <f t="shared" si="124"/>
        <v>0</v>
      </c>
    </row>
    <row r="246" spans="1:12" s="1278" customFormat="1" ht="13.5" customHeight="1">
      <c r="A246" s="2898"/>
      <c r="B246" s="2936" t="s">
        <v>2544</v>
      </c>
      <c r="C246" s="1539" t="s">
        <v>2815</v>
      </c>
      <c r="D246" s="1539"/>
      <c r="E246" s="1490"/>
      <c r="F246" s="1349">
        <f t="shared" si="123"/>
        <v>0</v>
      </c>
      <c r="G246" s="1293">
        <f t="shared" si="124"/>
        <v>0</v>
      </c>
      <c r="H246" s="1293">
        <f t="shared" si="124"/>
        <v>0</v>
      </c>
      <c r="I246" s="1293">
        <f t="shared" si="124"/>
        <v>0</v>
      </c>
      <c r="J246" s="1293">
        <f t="shared" si="124"/>
        <v>0</v>
      </c>
      <c r="K246" s="1293">
        <f t="shared" si="124"/>
        <v>0</v>
      </c>
      <c r="L246" s="1294">
        <f t="shared" si="124"/>
        <v>0</v>
      </c>
    </row>
    <row r="247" spans="1:12" s="1278" customFormat="1" ht="13.5" customHeight="1">
      <c r="A247" s="2898"/>
      <c r="B247" s="2936"/>
      <c r="C247" s="1539"/>
      <c r="D247" s="1539"/>
      <c r="E247" s="1490"/>
      <c r="F247" s="1349">
        <f t="shared" si="123"/>
        <v>0</v>
      </c>
      <c r="G247" s="1293">
        <f t="shared" si="124"/>
        <v>0</v>
      </c>
      <c r="H247" s="1293">
        <f t="shared" si="124"/>
        <v>0</v>
      </c>
      <c r="I247" s="1293">
        <f t="shared" si="124"/>
        <v>0</v>
      </c>
      <c r="J247" s="1293">
        <f t="shared" si="124"/>
        <v>0</v>
      </c>
      <c r="K247" s="1293">
        <f t="shared" si="124"/>
        <v>0</v>
      </c>
      <c r="L247" s="1294">
        <f t="shared" si="124"/>
        <v>0</v>
      </c>
    </row>
    <row r="248" spans="1:12" s="1278" customFormat="1" ht="13.5" customHeight="1">
      <c r="A248" s="2898"/>
      <c r="B248" s="2936"/>
      <c r="C248" s="1539" t="s">
        <v>2816</v>
      </c>
      <c r="D248" s="1539"/>
      <c r="E248" s="1490"/>
      <c r="F248" s="1349">
        <f t="shared" si="123"/>
        <v>0</v>
      </c>
      <c r="G248" s="1293">
        <f t="shared" si="124"/>
        <v>0</v>
      </c>
      <c r="H248" s="1293">
        <f t="shared" si="124"/>
        <v>0</v>
      </c>
      <c r="I248" s="1293">
        <f t="shared" si="124"/>
        <v>0</v>
      </c>
      <c r="J248" s="1293">
        <f t="shared" si="124"/>
        <v>0</v>
      </c>
      <c r="K248" s="1293">
        <f t="shared" si="124"/>
        <v>0</v>
      </c>
      <c r="L248" s="1294">
        <f t="shared" si="124"/>
        <v>0</v>
      </c>
    </row>
    <row r="249" spans="1:12" s="1278" customFormat="1" ht="13.5" customHeight="1">
      <c r="A249" s="2898"/>
      <c r="B249" s="2936"/>
      <c r="C249" s="1539" t="s">
        <v>2817</v>
      </c>
      <c r="D249" s="1539"/>
      <c r="E249" s="1490"/>
      <c r="F249" s="1349">
        <f t="shared" si="123"/>
        <v>0</v>
      </c>
      <c r="G249" s="1293">
        <f t="shared" si="124"/>
        <v>0</v>
      </c>
      <c r="H249" s="1293">
        <f t="shared" si="124"/>
        <v>0</v>
      </c>
      <c r="I249" s="1293">
        <f t="shared" si="124"/>
        <v>0</v>
      </c>
      <c r="J249" s="1293">
        <f t="shared" si="124"/>
        <v>0</v>
      </c>
      <c r="K249" s="1293">
        <f t="shared" si="124"/>
        <v>0</v>
      </c>
      <c r="L249" s="1294">
        <f t="shared" si="124"/>
        <v>0</v>
      </c>
    </row>
    <row r="250" spans="1:12" s="1278" customFormat="1" ht="13.5" customHeight="1">
      <c r="A250" s="2898"/>
      <c r="B250" s="2891"/>
      <c r="C250" s="1550" t="s">
        <v>2770</v>
      </c>
      <c r="D250" s="1550"/>
      <c r="E250" s="1551"/>
      <c r="F250" s="1349">
        <f>SUM(G250:M250)</f>
        <v>0</v>
      </c>
      <c r="G250" s="1293">
        <f t="shared" si="124"/>
        <v>0</v>
      </c>
      <c r="H250" s="1293">
        <f t="shared" si="124"/>
        <v>0</v>
      </c>
      <c r="I250" s="1293">
        <f t="shared" si="124"/>
        <v>0</v>
      </c>
      <c r="J250" s="1293">
        <f t="shared" si="124"/>
        <v>0</v>
      </c>
      <c r="K250" s="1293">
        <f t="shared" si="124"/>
        <v>0</v>
      </c>
      <c r="L250" s="1294">
        <f t="shared" si="124"/>
        <v>0</v>
      </c>
    </row>
    <row r="251" spans="1:12" s="1278" customFormat="1" ht="13.5" customHeight="1">
      <c r="A251" s="2898"/>
      <c r="B251" s="2891"/>
      <c r="C251" s="1550" t="s">
        <v>2771</v>
      </c>
      <c r="D251" s="1550"/>
      <c r="E251" s="1551"/>
      <c r="F251" s="1349">
        <f>SUM(G251:M251)</f>
        <v>0</v>
      </c>
      <c r="G251" s="1293">
        <f t="shared" si="124"/>
        <v>0</v>
      </c>
      <c r="H251" s="1293">
        <f t="shared" si="124"/>
        <v>0</v>
      </c>
      <c r="I251" s="1293">
        <f t="shared" si="124"/>
        <v>0</v>
      </c>
      <c r="J251" s="1293">
        <f t="shared" si="124"/>
        <v>0</v>
      </c>
      <c r="K251" s="1293">
        <f t="shared" si="124"/>
        <v>0</v>
      </c>
      <c r="L251" s="1294">
        <f t="shared" si="124"/>
        <v>0</v>
      </c>
    </row>
    <row r="252" spans="1:12" s="1278" customFormat="1" ht="13.5" customHeight="1">
      <c r="A252" s="2899"/>
      <c r="B252" s="2937"/>
      <c r="C252" s="1552" t="s">
        <v>2802</v>
      </c>
      <c r="D252" s="1553"/>
      <c r="E252" s="1495"/>
      <c r="F252" s="1355">
        <f>SUM(G252:L252)</f>
        <v>0</v>
      </c>
      <c r="G252" s="1299">
        <f t="shared" si="124"/>
        <v>0</v>
      </c>
      <c r="H252" s="1299">
        <f t="shared" si="124"/>
        <v>0</v>
      </c>
      <c r="I252" s="1299">
        <f t="shared" si="124"/>
        <v>0</v>
      </c>
      <c r="J252" s="1299">
        <f t="shared" si="124"/>
        <v>0</v>
      </c>
      <c r="K252" s="1299">
        <f t="shared" si="124"/>
        <v>0</v>
      </c>
      <c r="L252" s="1300">
        <f t="shared" si="124"/>
        <v>0</v>
      </c>
    </row>
    <row r="253" spans="1:12" s="889" customFormat="1" ht="15" customHeight="1">
      <c r="A253" s="1034"/>
      <c r="B253" s="1034"/>
      <c r="C253" s="1556" t="s">
        <v>2714</v>
      </c>
      <c r="D253" s="804"/>
      <c r="E253" s="1033"/>
      <c r="F253" s="1033"/>
      <c r="G253" s="1037"/>
      <c r="H253" s="1037"/>
      <c r="I253" s="1037"/>
      <c r="J253" s="1037"/>
      <c r="K253" s="1037"/>
      <c r="L253" s="1091" t="s">
        <v>2818</v>
      </c>
    </row>
    <row r="254" spans="1:12" s="889" customFormat="1" ht="15" customHeight="1">
      <c r="A254" s="1034"/>
      <c r="B254" s="1034"/>
      <c r="C254" s="923" t="s">
        <v>2774</v>
      </c>
      <c r="D254" s="1557"/>
      <c r="E254" s="1033"/>
      <c r="F254" s="1033"/>
      <c r="G254" s="1037"/>
      <c r="H254" s="1037"/>
      <c r="I254" s="1037"/>
      <c r="J254" s="1037"/>
      <c r="K254" s="1037"/>
      <c r="L254" s="1091"/>
    </row>
    <row r="255" spans="1:12" s="889" customFormat="1" ht="15" customHeight="1">
      <c r="A255" s="1558"/>
      <c r="B255" s="1559"/>
      <c r="C255" s="1559"/>
      <c r="D255" s="2914"/>
      <c r="E255" s="2914" t="s">
        <v>2656</v>
      </c>
      <c r="F255" s="1083" t="s">
        <v>2505</v>
      </c>
      <c r="G255" s="1084" t="str">
        <f t="shared" ref="G255:L255" si="125">+G211</f>
        <v>◇◇◇改造工事の部</v>
      </c>
      <c r="H255" s="1084" t="str">
        <f t="shared" si="125"/>
        <v>◇◇◇改造工事の部</v>
      </c>
      <c r="I255" s="1084" t="str">
        <f t="shared" si="125"/>
        <v>◇◇◇改造工事の部</v>
      </c>
      <c r="J255" s="1084" t="str">
        <f t="shared" si="125"/>
        <v>◇◇◇改造工事の部</v>
      </c>
      <c r="K255" s="1084" t="str">
        <f t="shared" si="125"/>
        <v>◇◇◇改造工事の部</v>
      </c>
      <c r="L255" s="1306" t="str">
        <f t="shared" si="125"/>
        <v>◇◇◇改造工事の部</v>
      </c>
    </row>
    <row r="256" spans="1:12" s="889" customFormat="1" ht="15" customHeight="1">
      <c r="A256" s="2916" t="s">
        <v>2645</v>
      </c>
      <c r="B256" s="2917"/>
      <c r="C256" s="2917"/>
      <c r="D256" s="2915"/>
      <c r="E256" s="2915"/>
      <c r="F256" s="1092"/>
      <c r="G256" s="1093"/>
      <c r="H256" s="1093"/>
      <c r="I256" s="1093"/>
      <c r="J256" s="1093"/>
      <c r="K256" s="1093"/>
      <c r="L256" s="1560"/>
    </row>
    <row r="257" spans="1:12" s="889" customFormat="1" ht="14.25" customHeight="1">
      <c r="A257" s="1561"/>
      <c r="B257" s="1562" t="s">
        <v>2775</v>
      </c>
      <c r="C257" s="1563"/>
      <c r="D257" s="1084"/>
      <c r="E257" s="1564"/>
      <c r="F257" s="1099">
        <f>SUM(G257:L257)</f>
        <v>1570000</v>
      </c>
      <c r="G257" s="1100">
        <f t="shared" ref="G257:L257" si="126">SUM(G233:G234,G243:G249)</f>
        <v>1570000</v>
      </c>
      <c r="H257" s="1100">
        <f t="shared" si="126"/>
        <v>0</v>
      </c>
      <c r="I257" s="1100">
        <f t="shared" si="126"/>
        <v>0</v>
      </c>
      <c r="J257" s="1100">
        <f t="shared" si="126"/>
        <v>0</v>
      </c>
      <c r="K257" s="1100">
        <f t="shared" si="126"/>
        <v>0</v>
      </c>
      <c r="L257" s="1565">
        <f t="shared" si="126"/>
        <v>0</v>
      </c>
    </row>
    <row r="258" spans="1:12" s="889" customFormat="1" ht="15" customHeight="1">
      <c r="A258" s="1566"/>
      <c r="B258" s="2889" t="s">
        <v>2728</v>
      </c>
      <c r="C258" s="1485" t="s">
        <v>2530</v>
      </c>
      <c r="D258" s="1084"/>
      <c r="E258" s="1567" t="s">
        <v>2777</v>
      </c>
      <c r="F258" s="1099">
        <f>SUM(G258:L258)</f>
        <v>0</v>
      </c>
      <c r="G258" s="1068">
        <f>+G233</f>
        <v>0</v>
      </c>
      <c r="H258" s="1068">
        <f t="shared" ref="G258:L259" si="127">+H233</f>
        <v>0</v>
      </c>
      <c r="I258" s="1068">
        <f t="shared" si="127"/>
        <v>0</v>
      </c>
      <c r="J258" s="1068">
        <f t="shared" si="127"/>
        <v>0</v>
      </c>
      <c r="K258" s="1068">
        <f t="shared" si="127"/>
        <v>0</v>
      </c>
      <c r="L258" s="1069">
        <f t="shared" si="127"/>
        <v>0</v>
      </c>
    </row>
    <row r="259" spans="1:12" s="889" customFormat="1" ht="15" customHeight="1">
      <c r="A259" s="1569"/>
      <c r="B259" s="2890"/>
      <c r="C259" s="1539" t="s">
        <v>2531</v>
      </c>
      <c r="D259" s="1570"/>
      <c r="E259" s="1571" t="s">
        <v>2777</v>
      </c>
      <c r="F259" s="904">
        <f>SUM(G259:L259)</f>
        <v>1570000</v>
      </c>
      <c r="G259" s="905">
        <f t="shared" si="127"/>
        <v>1570000</v>
      </c>
      <c r="H259" s="905">
        <f t="shared" si="127"/>
        <v>0</v>
      </c>
      <c r="I259" s="905">
        <f t="shared" si="127"/>
        <v>0</v>
      </c>
      <c r="J259" s="905">
        <f t="shared" si="127"/>
        <v>0</v>
      </c>
      <c r="K259" s="905">
        <f t="shared" si="127"/>
        <v>0</v>
      </c>
      <c r="L259" s="906">
        <f t="shared" si="127"/>
        <v>0</v>
      </c>
    </row>
    <row r="260" spans="1:12" s="889" customFormat="1" ht="15" customHeight="1">
      <c r="A260" s="1569"/>
      <c r="B260" s="2891" t="s">
        <v>2729</v>
      </c>
      <c r="C260" s="1539" t="s">
        <v>2819</v>
      </c>
      <c r="D260" s="1570"/>
      <c r="E260" s="1548">
        <f t="shared" ref="E260:E265" si="128">+E132</f>
        <v>0.25</v>
      </c>
      <c r="F260" s="905">
        <f t="shared" ref="F260:F265" si="129">INT(F235/(1+$E260))</f>
        <v>424000</v>
      </c>
      <c r="G260" s="905">
        <f t="shared" ref="G260:G265" si="130">F260-SUM(H260:L260)</f>
        <v>424000</v>
      </c>
      <c r="H260" s="905">
        <f t="shared" ref="H260:L265" si="131">IF(H235=0,0,ROUND($F260/$F235*H235,0))</f>
        <v>0</v>
      </c>
      <c r="I260" s="905">
        <f t="shared" si="131"/>
        <v>0</v>
      </c>
      <c r="J260" s="905">
        <f t="shared" si="131"/>
        <v>0</v>
      </c>
      <c r="K260" s="905">
        <f t="shared" si="131"/>
        <v>0</v>
      </c>
      <c r="L260" s="906">
        <f t="shared" si="131"/>
        <v>0</v>
      </c>
    </row>
    <row r="261" spans="1:12" s="889" customFormat="1" ht="15" customHeight="1">
      <c r="A261" s="1569"/>
      <c r="B261" s="2892"/>
      <c r="C261" s="1539" t="s">
        <v>2820</v>
      </c>
      <c r="D261" s="1570"/>
      <c r="E261" s="1548">
        <f t="shared" si="128"/>
        <v>0.25</v>
      </c>
      <c r="F261" s="905">
        <f t="shared" si="129"/>
        <v>400000</v>
      </c>
      <c r="G261" s="905">
        <f t="shared" si="130"/>
        <v>400000</v>
      </c>
      <c r="H261" s="905">
        <f t="shared" si="131"/>
        <v>0</v>
      </c>
      <c r="I261" s="905">
        <f t="shared" si="131"/>
        <v>0</v>
      </c>
      <c r="J261" s="905">
        <f t="shared" si="131"/>
        <v>0</v>
      </c>
      <c r="K261" s="905">
        <f t="shared" si="131"/>
        <v>0</v>
      </c>
      <c r="L261" s="906">
        <f t="shared" si="131"/>
        <v>0</v>
      </c>
    </row>
    <row r="262" spans="1:12" s="889" customFormat="1" ht="15" customHeight="1">
      <c r="A262" s="1569"/>
      <c r="B262" s="2892"/>
      <c r="C262" s="1573" t="s">
        <v>2821</v>
      </c>
      <c r="D262" s="1570"/>
      <c r="E262" s="1548">
        <f t="shared" si="128"/>
        <v>0.22</v>
      </c>
      <c r="F262" s="905">
        <f t="shared" si="129"/>
        <v>4508196</v>
      </c>
      <c r="G262" s="905">
        <f t="shared" si="130"/>
        <v>4508196</v>
      </c>
      <c r="H262" s="905">
        <f t="shared" si="131"/>
        <v>0</v>
      </c>
      <c r="I262" s="905">
        <f t="shared" si="131"/>
        <v>0</v>
      </c>
      <c r="J262" s="905">
        <f t="shared" si="131"/>
        <v>0</v>
      </c>
      <c r="K262" s="905">
        <f t="shared" si="131"/>
        <v>0</v>
      </c>
      <c r="L262" s="906">
        <f t="shared" si="131"/>
        <v>0</v>
      </c>
    </row>
    <row r="263" spans="1:12" s="889" customFormat="1" ht="15" customHeight="1">
      <c r="A263" s="1569"/>
      <c r="B263" s="2892"/>
      <c r="C263" s="1539" t="s">
        <v>2780</v>
      </c>
      <c r="D263" s="1570"/>
      <c r="E263" s="1548">
        <f t="shared" si="128"/>
        <v>0.25</v>
      </c>
      <c r="F263" s="905">
        <f t="shared" si="129"/>
        <v>0</v>
      </c>
      <c r="G263" s="905">
        <f t="shared" si="130"/>
        <v>0</v>
      </c>
      <c r="H263" s="905">
        <f t="shared" si="131"/>
        <v>0</v>
      </c>
      <c r="I263" s="905">
        <f t="shared" si="131"/>
        <v>0</v>
      </c>
      <c r="J263" s="905">
        <f t="shared" si="131"/>
        <v>0</v>
      </c>
      <c r="K263" s="905">
        <f t="shared" si="131"/>
        <v>0</v>
      </c>
      <c r="L263" s="906">
        <f t="shared" si="131"/>
        <v>0</v>
      </c>
    </row>
    <row r="264" spans="1:12" s="889" customFormat="1" ht="15" customHeight="1">
      <c r="A264" s="1569"/>
      <c r="B264" s="2892"/>
      <c r="C264" s="1539" t="s">
        <v>2781</v>
      </c>
      <c r="D264" s="1570"/>
      <c r="E264" s="1548">
        <f t="shared" si="128"/>
        <v>0.25</v>
      </c>
      <c r="F264" s="905">
        <f t="shared" si="129"/>
        <v>0</v>
      </c>
      <c r="G264" s="905">
        <f t="shared" si="130"/>
        <v>0</v>
      </c>
      <c r="H264" s="905">
        <f t="shared" si="131"/>
        <v>0</v>
      </c>
      <c r="I264" s="905">
        <f t="shared" si="131"/>
        <v>0</v>
      </c>
      <c r="J264" s="905">
        <f t="shared" si="131"/>
        <v>0</v>
      </c>
      <c r="K264" s="905">
        <f t="shared" si="131"/>
        <v>0</v>
      </c>
      <c r="L264" s="906">
        <f t="shared" si="131"/>
        <v>0</v>
      </c>
    </row>
    <row r="265" spans="1:12" s="889" customFormat="1" ht="15" customHeight="1">
      <c r="A265" s="1569"/>
      <c r="B265" s="2892"/>
      <c r="C265" s="1539" t="s">
        <v>2782</v>
      </c>
      <c r="D265" s="1570"/>
      <c r="E265" s="1548">
        <f t="shared" si="128"/>
        <v>0.25</v>
      </c>
      <c r="F265" s="905">
        <f t="shared" si="129"/>
        <v>0</v>
      </c>
      <c r="G265" s="905">
        <f t="shared" si="130"/>
        <v>0</v>
      </c>
      <c r="H265" s="905">
        <f t="shared" si="131"/>
        <v>0</v>
      </c>
      <c r="I265" s="905">
        <f t="shared" si="131"/>
        <v>0</v>
      </c>
      <c r="J265" s="905">
        <f t="shared" si="131"/>
        <v>0</v>
      </c>
      <c r="K265" s="905">
        <f t="shared" si="131"/>
        <v>0</v>
      </c>
      <c r="L265" s="906">
        <f t="shared" si="131"/>
        <v>0</v>
      </c>
    </row>
    <row r="266" spans="1:12" s="889" customFormat="1" ht="15" customHeight="1">
      <c r="A266" s="1569"/>
      <c r="B266" s="2892"/>
      <c r="C266" s="1539"/>
      <c r="D266" s="1570"/>
      <c r="E266" s="1548"/>
      <c r="F266" s="904"/>
      <c r="G266" s="905"/>
      <c r="H266" s="905"/>
      <c r="I266" s="905"/>
      <c r="J266" s="905"/>
      <c r="K266" s="905"/>
      <c r="L266" s="906"/>
    </row>
    <row r="267" spans="1:12" s="889" customFormat="1" ht="15" customHeight="1">
      <c r="A267" s="1569"/>
      <c r="B267" s="2890"/>
      <c r="C267" s="1539"/>
      <c r="D267" s="1570"/>
      <c r="E267" s="1548"/>
      <c r="F267" s="904"/>
      <c r="G267" s="905"/>
      <c r="H267" s="905"/>
      <c r="I267" s="905"/>
      <c r="J267" s="905"/>
      <c r="K267" s="905"/>
      <c r="L267" s="906"/>
    </row>
    <row r="268" spans="1:12" s="889" customFormat="1" ht="15" customHeight="1">
      <c r="A268" s="1569"/>
      <c r="B268" s="2891" t="s">
        <v>477</v>
      </c>
      <c r="C268" s="1539" t="s">
        <v>2764</v>
      </c>
      <c r="D268" s="1570"/>
      <c r="E268" s="1548">
        <v>0.02</v>
      </c>
      <c r="F268" s="904">
        <f>SUM(G268:L268)</f>
        <v>0</v>
      </c>
      <c r="G268" s="905">
        <f>+G243</f>
        <v>0</v>
      </c>
      <c r="H268" s="905">
        <f t="shared" ref="G268:L270" si="132">+H243</f>
        <v>0</v>
      </c>
      <c r="I268" s="905">
        <f t="shared" si="132"/>
        <v>0</v>
      </c>
      <c r="J268" s="905">
        <f t="shared" si="132"/>
        <v>0</v>
      </c>
      <c r="K268" s="905">
        <f t="shared" si="132"/>
        <v>0</v>
      </c>
      <c r="L268" s="906">
        <f t="shared" si="132"/>
        <v>0</v>
      </c>
    </row>
    <row r="269" spans="1:12" s="889" customFormat="1" ht="15" customHeight="1">
      <c r="A269" s="1569"/>
      <c r="B269" s="2892"/>
      <c r="C269" s="1549" t="s">
        <v>2784</v>
      </c>
      <c r="D269" s="1570"/>
      <c r="E269" s="1548">
        <v>0.02</v>
      </c>
      <c r="F269" s="904">
        <f>SUM(G269:L269)</f>
        <v>0</v>
      </c>
      <c r="G269" s="905">
        <f t="shared" si="132"/>
        <v>0</v>
      </c>
      <c r="H269" s="905">
        <f t="shared" si="132"/>
        <v>0</v>
      </c>
      <c r="I269" s="905">
        <f t="shared" si="132"/>
        <v>0</v>
      </c>
      <c r="J269" s="905">
        <f t="shared" si="132"/>
        <v>0</v>
      </c>
      <c r="K269" s="905">
        <f t="shared" si="132"/>
        <v>0</v>
      </c>
      <c r="L269" s="906">
        <f t="shared" si="132"/>
        <v>0</v>
      </c>
    </row>
    <row r="270" spans="1:12" s="889" customFormat="1" ht="15" customHeight="1">
      <c r="A270" s="1569"/>
      <c r="B270" s="2890"/>
      <c r="C270" s="1549" t="s">
        <v>2792</v>
      </c>
      <c r="D270" s="1570"/>
      <c r="E270" s="1548">
        <v>0.02</v>
      </c>
      <c r="F270" s="904">
        <f>SUM(G270:L270)</f>
        <v>0</v>
      </c>
      <c r="G270" s="905">
        <f t="shared" si="132"/>
        <v>0</v>
      </c>
      <c r="H270" s="905">
        <f t="shared" si="132"/>
        <v>0</v>
      </c>
      <c r="I270" s="905">
        <f t="shared" si="132"/>
        <v>0</v>
      </c>
      <c r="J270" s="905">
        <f t="shared" si="132"/>
        <v>0</v>
      </c>
      <c r="K270" s="905">
        <f t="shared" si="132"/>
        <v>0</v>
      </c>
      <c r="L270" s="906">
        <f t="shared" si="132"/>
        <v>0</v>
      </c>
    </row>
    <row r="271" spans="1:12" s="889" customFormat="1" ht="15" customHeight="1">
      <c r="A271" s="1569"/>
      <c r="B271" s="1575" t="s">
        <v>2632</v>
      </c>
      <c r="C271" s="1576" t="s">
        <v>2786</v>
      </c>
      <c r="D271" s="1570"/>
      <c r="E271" s="1548">
        <v>0</v>
      </c>
      <c r="F271" s="904">
        <f>SUM(G271:L271)</f>
        <v>0</v>
      </c>
      <c r="G271" s="1064">
        <f t="shared" ref="G271:L271" si="133">SUM(G246:G252)</f>
        <v>0</v>
      </c>
      <c r="H271" s="1064">
        <f t="shared" si="133"/>
        <v>0</v>
      </c>
      <c r="I271" s="1064">
        <f t="shared" si="133"/>
        <v>0</v>
      </c>
      <c r="J271" s="1064">
        <f t="shared" si="133"/>
        <v>0</v>
      </c>
      <c r="K271" s="1064">
        <f t="shared" si="133"/>
        <v>0</v>
      </c>
      <c r="L271" s="1065">
        <f t="shared" si="133"/>
        <v>0</v>
      </c>
    </row>
    <row r="272" spans="1:12" s="889" customFormat="1" ht="15" customHeight="1">
      <c r="A272" s="1578" t="s">
        <v>2552</v>
      </c>
      <c r="B272" s="1579"/>
      <c r="C272" s="1579"/>
      <c r="D272" s="1580"/>
      <c r="E272" s="1581" t="s">
        <v>2787</v>
      </c>
      <c r="F272" s="1582"/>
      <c r="G272" s="1583"/>
      <c r="H272" s="1583"/>
      <c r="I272" s="1583"/>
      <c r="J272" s="1583"/>
      <c r="K272" s="1583"/>
      <c r="L272" s="1584"/>
    </row>
    <row r="273" spans="1:12" s="889" customFormat="1" ht="15" customHeight="1">
      <c r="A273" s="1566"/>
      <c r="B273" s="2889" t="s">
        <v>2728</v>
      </c>
      <c r="C273" s="1114" t="s">
        <v>2530</v>
      </c>
      <c r="D273" s="1115"/>
      <c r="E273" s="1116" t="s">
        <v>2790</v>
      </c>
      <c r="F273" s="1117" t="s">
        <v>2789</v>
      </c>
      <c r="G273" s="1118">
        <f t="shared" ref="G273:L273" si="134">IF(G258=0,0,+G338/100)</f>
        <v>0</v>
      </c>
      <c r="H273" s="1118">
        <f t="shared" si="134"/>
        <v>0</v>
      </c>
      <c r="I273" s="1118">
        <f t="shared" si="134"/>
        <v>0</v>
      </c>
      <c r="J273" s="1118">
        <f t="shared" si="134"/>
        <v>0</v>
      </c>
      <c r="K273" s="1118">
        <f t="shared" si="134"/>
        <v>0</v>
      </c>
      <c r="L273" s="1119">
        <f t="shared" si="134"/>
        <v>0</v>
      </c>
    </row>
    <row r="274" spans="1:12" s="889" customFormat="1" ht="15" customHeight="1">
      <c r="A274" s="1569"/>
      <c r="B274" s="2892"/>
      <c r="C274" s="1120"/>
      <c r="D274" s="1585">
        <v>1</v>
      </c>
      <c r="E274" s="1122" t="s">
        <v>2790</v>
      </c>
      <c r="F274" s="1055">
        <f>SUM(G274:N274)</f>
        <v>0</v>
      </c>
      <c r="G274" s="1071">
        <f t="shared" ref="G274:L274" si="135">ROUNDDOWN(G258*G273*$D274,0)</f>
        <v>0</v>
      </c>
      <c r="H274" s="1071">
        <f t="shared" si="135"/>
        <v>0</v>
      </c>
      <c r="I274" s="1071">
        <f t="shared" si="135"/>
        <v>0</v>
      </c>
      <c r="J274" s="1071">
        <f t="shared" si="135"/>
        <v>0</v>
      </c>
      <c r="K274" s="1071">
        <f t="shared" si="135"/>
        <v>0</v>
      </c>
      <c r="L274" s="1072">
        <f t="shared" si="135"/>
        <v>0</v>
      </c>
    </row>
    <row r="275" spans="1:12" s="889" customFormat="1" ht="15" customHeight="1">
      <c r="A275" s="1569"/>
      <c r="B275" s="2892"/>
      <c r="C275" s="1123" t="s">
        <v>2531</v>
      </c>
      <c r="D275" s="1124"/>
      <c r="E275" s="1122" t="s">
        <v>2790</v>
      </c>
      <c r="F275" s="1125" t="s">
        <v>2789</v>
      </c>
      <c r="G275" s="1146">
        <f t="shared" ref="G275:L275" si="136">IF(G259=0,0,+G346/100)</f>
        <v>0.2261</v>
      </c>
      <c r="H275" s="1146">
        <f t="shared" si="136"/>
        <v>0</v>
      </c>
      <c r="I275" s="1146">
        <f t="shared" si="136"/>
        <v>0</v>
      </c>
      <c r="J275" s="1146">
        <f t="shared" si="136"/>
        <v>0</v>
      </c>
      <c r="K275" s="1146">
        <f t="shared" si="136"/>
        <v>0</v>
      </c>
      <c r="L275" s="1586">
        <f t="shared" si="136"/>
        <v>0</v>
      </c>
    </row>
    <row r="276" spans="1:12" s="889" customFormat="1" ht="15" customHeight="1">
      <c r="A276" s="1569"/>
      <c r="B276" s="2919"/>
      <c r="C276" s="1120"/>
      <c r="D276" s="1587">
        <v>1</v>
      </c>
      <c r="E276" s="1122" t="s">
        <v>2790</v>
      </c>
      <c r="F276" s="1055">
        <f>SUM(G276:N276)</f>
        <v>354977</v>
      </c>
      <c r="G276" s="1071">
        <f t="shared" ref="G276:L276" si="137">ROUNDDOWN(G259*G275*$D276,0)</f>
        <v>354977</v>
      </c>
      <c r="H276" s="1071">
        <f t="shared" si="137"/>
        <v>0</v>
      </c>
      <c r="I276" s="1071">
        <f t="shared" si="137"/>
        <v>0</v>
      </c>
      <c r="J276" s="1071">
        <f t="shared" si="137"/>
        <v>0</v>
      </c>
      <c r="K276" s="1071">
        <f t="shared" si="137"/>
        <v>0</v>
      </c>
      <c r="L276" s="1072">
        <f t="shared" si="137"/>
        <v>0</v>
      </c>
    </row>
    <row r="277" spans="1:12" s="889" customFormat="1" ht="15" customHeight="1">
      <c r="A277" s="1569"/>
      <c r="B277" s="2891" t="s">
        <v>2729</v>
      </c>
      <c r="C277" s="1539" t="str">
        <f>+C260</f>
        <v>(3)共通仮設工事</v>
      </c>
      <c r="D277" s="1588"/>
      <c r="E277" s="1548">
        <f t="shared" ref="E277:E282" si="138">+E260</f>
        <v>0.25</v>
      </c>
      <c r="F277" s="904">
        <f t="shared" ref="F277:F282" si="139">INT((F235-F260)*0.5)</f>
        <v>53000</v>
      </c>
      <c r="G277" s="905">
        <f t="shared" ref="G277:G282" si="140">F277-SUM(H277:L277)</f>
        <v>53000</v>
      </c>
      <c r="H277" s="905">
        <f t="shared" ref="H277:L282" si="141">IF(H260=0,0,ROUND($F277/$F260*H260,0))</f>
        <v>0</v>
      </c>
      <c r="I277" s="905">
        <f t="shared" si="141"/>
        <v>0</v>
      </c>
      <c r="J277" s="905">
        <f t="shared" si="141"/>
        <v>0</v>
      </c>
      <c r="K277" s="905">
        <f t="shared" si="141"/>
        <v>0</v>
      </c>
      <c r="L277" s="906">
        <f t="shared" si="141"/>
        <v>0</v>
      </c>
    </row>
    <row r="278" spans="1:12" s="889" customFormat="1" ht="15" customHeight="1">
      <c r="A278" s="1569"/>
      <c r="B278" s="2892"/>
      <c r="C278" s="1539" t="str">
        <f>+C261</f>
        <v>(4)直接仮設工事</v>
      </c>
      <c r="D278" s="1588"/>
      <c r="E278" s="1548">
        <f t="shared" si="138"/>
        <v>0.25</v>
      </c>
      <c r="F278" s="904">
        <f t="shared" si="139"/>
        <v>50000</v>
      </c>
      <c r="G278" s="905">
        <f t="shared" si="140"/>
        <v>50000</v>
      </c>
      <c r="H278" s="905">
        <f t="shared" si="141"/>
        <v>0</v>
      </c>
      <c r="I278" s="905">
        <f t="shared" si="141"/>
        <v>0</v>
      </c>
      <c r="J278" s="905">
        <f t="shared" si="141"/>
        <v>0</v>
      </c>
      <c r="K278" s="905">
        <f t="shared" si="141"/>
        <v>0</v>
      </c>
      <c r="L278" s="906">
        <f t="shared" si="141"/>
        <v>0</v>
      </c>
    </row>
    <row r="279" spans="1:12" s="889" customFormat="1" ht="15" customHeight="1">
      <c r="A279" s="1569"/>
      <c r="B279" s="2892"/>
      <c r="C279" s="1573" t="str">
        <f>C262</f>
        <v>(5)建具工事</v>
      </c>
      <c r="D279" s="1588"/>
      <c r="E279" s="1589">
        <f t="shared" si="138"/>
        <v>0.22</v>
      </c>
      <c r="F279" s="904">
        <f t="shared" si="139"/>
        <v>495902</v>
      </c>
      <c r="G279" s="905">
        <f t="shared" si="140"/>
        <v>495902</v>
      </c>
      <c r="H279" s="905">
        <f t="shared" si="141"/>
        <v>0</v>
      </c>
      <c r="I279" s="905">
        <f t="shared" si="141"/>
        <v>0</v>
      </c>
      <c r="J279" s="905">
        <f t="shared" si="141"/>
        <v>0</v>
      </c>
      <c r="K279" s="905">
        <f t="shared" si="141"/>
        <v>0</v>
      </c>
      <c r="L279" s="906">
        <f t="shared" si="141"/>
        <v>0</v>
      </c>
    </row>
    <row r="280" spans="1:12" s="889" customFormat="1" ht="15" customHeight="1">
      <c r="A280" s="1569"/>
      <c r="B280" s="2892"/>
      <c r="C280" s="1539" t="str">
        <f>+C263</f>
        <v>(6)場内小運搬費</v>
      </c>
      <c r="D280" s="1588"/>
      <c r="E280" s="1548">
        <f t="shared" si="138"/>
        <v>0.25</v>
      </c>
      <c r="F280" s="904">
        <f t="shared" si="139"/>
        <v>0</v>
      </c>
      <c r="G280" s="905">
        <f t="shared" si="140"/>
        <v>0</v>
      </c>
      <c r="H280" s="905">
        <f t="shared" si="141"/>
        <v>0</v>
      </c>
      <c r="I280" s="905">
        <f t="shared" si="141"/>
        <v>0</v>
      </c>
      <c r="J280" s="905">
        <f t="shared" si="141"/>
        <v>0</v>
      </c>
      <c r="K280" s="905">
        <f t="shared" si="141"/>
        <v>0</v>
      </c>
      <c r="L280" s="906">
        <f t="shared" si="141"/>
        <v>0</v>
      </c>
    </row>
    <row r="281" spans="1:12" s="889" customFormat="1" ht="15" customHeight="1">
      <c r="A281" s="1569"/>
      <c r="B281" s="2892"/>
      <c r="C281" s="1539" t="str">
        <f>+C264</f>
        <v>(7)〃人力積込み費</v>
      </c>
      <c r="D281" s="1588"/>
      <c r="E281" s="1548">
        <f t="shared" si="138"/>
        <v>0.25</v>
      </c>
      <c r="F281" s="904">
        <f t="shared" si="139"/>
        <v>0</v>
      </c>
      <c r="G281" s="905">
        <f t="shared" si="140"/>
        <v>0</v>
      </c>
      <c r="H281" s="905">
        <f t="shared" si="141"/>
        <v>0</v>
      </c>
      <c r="I281" s="905">
        <f t="shared" si="141"/>
        <v>0</v>
      </c>
      <c r="J281" s="905">
        <f t="shared" si="141"/>
        <v>0</v>
      </c>
      <c r="K281" s="905">
        <f t="shared" si="141"/>
        <v>0</v>
      </c>
      <c r="L281" s="906">
        <f t="shared" si="141"/>
        <v>0</v>
      </c>
    </row>
    <row r="282" spans="1:12" s="889" customFormat="1" ht="15" customHeight="1">
      <c r="A282" s="1569"/>
      <c r="B282" s="2892"/>
      <c r="C282" s="1539" t="str">
        <f>+C265</f>
        <v>(8)〃搬出準備費</v>
      </c>
      <c r="D282" s="1588"/>
      <c r="E282" s="1548">
        <f t="shared" si="138"/>
        <v>0.25</v>
      </c>
      <c r="F282" s="904">
        <f t="shared" si="139"/>
        <v>0</v>
      </c>
      <c r="G282" s="905">
        <f t="shared" si="140"/>
        <v>0</v>
      </c>
      <c r="H282" s="905">
        <f t="shared" si="141"/>
        <v>0</v>
      </c>
      <c r="I282" s="905">
        <f t="shared" si="141"/>
        <v>0</v>
      </c>
      <c r="J282" s="905">
        <f t="shared" si="141"/>
        <v>0</v>
      </c>
      <c r="K282" s="905">
        <f t="shared" si="141"/>
        <v>0</v>
      </c>
      <c r="L282" s="906">
        <f t="shared" si="141"/>
        <v>0</v>
      </c>
    </row>
    <row r="283" spans="1:12" s="889" customFormat="1" ht="15" customHeight="1">
      <c r="A283" s="1569"/>
      <c r="B283" s="2892"/>
      <c r="C283" s="1539"/>
      <c r="D283" s="1588"/>
      <c r="E283" s="1590"/>
      <c r="F283" s="904"/>
      <c r="G283" s="905"/>
      <c r="H283" s="905"/>
      <c r="I283" s="905"/>
      <c r="J283" s="905"/>
      <c r="K283" s="905"/>
      <c r="L283" s="906"/>
    </row>
    <row r="284" spans="1:12" s="889" customFormat="1" ht="15" customHeight="1">
      <c r="A284" s="1569"/>
      <c r="B284" s="2890"/>
      <c r="C284" s="1539"/>
      <c r="D284" s="1588"/>
      <c r="E284" s="1548"/>
      <c r="F284" s="904"/>
      <c r="G284" s="905"/>
      <c r="H284" s="905"/>
      <c r="I284" s="905"/>
      <c r="J284" s="905"/>
      <c r="K284" s="905"/>
      <c r="L284" s="906"/>
    </row>
    <row r="285" spans="1:12" s="889" customFormat="1" ht="15" customHeight="1">
      <c r="A285" s="1569"/>
      <c r="B285" s="2891" t="s">
        <v>477</v>
      </c>
      <c r="C285" s="1539" t="s">
        <v>2764</v>
      </c>
      <c r="D285" s="1588"/>
      <c r="E285" s="1548">
        <f>+E268</f>
        <v>0.02</v>
      </c>
      <c r="F285" s="904">
        <f>INT(F268*E285)</f>
        <v>0</v>
      </c>
      <c r="G285" s="905">
        <f>F285-SUM(H285:L285)</f>
        <v>0</v>
      </c>
      <c r="H285" s="905">
        <f t="shared" ref="H285:L287" si="142">IF(H268=0,0,ROUND($F285/$F268*H268,0))</f>
        <v>0</v>
      </c>
      <c r="I285" s="905">
        <f t="shared" si="142"/>
        <v>0</v>
      </c>
      <c r="J285" s="905">
        <f t="shared" si="142"/>
        <v>0</v>
      </c>
      <c r="K285" s="905">
        <f t="shared" si="142"/>
        <v>0</v>
      </c>
      <c r="L285" s="906">
        <f t="shared" si="142"/>
        <v>0</v>
      </c>
    </row>
    <row r="286" spans="1:12" s="889" customFormat="1" ht="15" customHeight="1">
      <c r="A286" s="1569"/>
      <c r="B286" s="2892"/>
      <c r="C286" s="1549" t="s">
        <v>2784</v>
      </c>
      <c r="D286" s="1588"/>
      <c r="E286" s="1548">
        <f>+E269</f>
        <v>0.02</v>
      </c>
      <c r="F286" s="904">
        <f>INT(F269*E286)</f>
        <v>0</v>
      </c>
      <c r="G286" s="905">
        <f>F286-SUM(H286:L286)</f>
        <v>0</v>
      </c>
      <c r="H286" s="905">
        <f t="shared" si="142"/>
        <v>0</v>
      </c>
      <c r="I286" s="905">
        <f t="shared" si="142"/>
        <v>0</v>
      </c>
      <c r="J286" s="905">
        <f t="shared" si="142"/>
        <v>0</v>
      </c>
      <c r="K286" s="905">
        <f t="shared" si="142"/>
        <v>0</v>
      </c>
      <c r="L286" s="906">
        <f t="shared" si="142"/>
        <v>0</v>
      </c>
    </row>
    <row r="287" spans="1:12" s="889" customFormat="1" ht="15" customHeight="1">
      <c r="A287" s="1569"/>
      <c r="B287" s="2890"/>
      <c r="C287" s="1549" t="s">
        <v>2792</v>
      </c>
      <c r="D287" s="1588"/>
      <c r="E287" s="1548">
        <f>+E270</f>
        <v>0.02</v>
      </c>
      <c r="F287" s="904">
        <f>INT(F270*E287)</f>
        <v>0</v>
      </c>
      <c r="G287" s="905">
        <f>F287-SUM(H287:L287)</f>
        <v>0</v>
      </c>
      <c r="H287" s="905">
        <f t="shared" si="142"/>
        <v>0</v>
      </c>
      <c r="I287" s="905">
        <f t="shared" si="142"/>
        <v>0</v>
      </c>
      <c r="J287" s="905">
        <f t="shared" si="142"/>
        <v>0</v>
      </c>
      <c r="K287" s="905">
        <f t="shared" si="142"/>
        <v>0</v>
      </c>
      <c r="L287" s="906">
        <f t="shared" si="142"/>
        <v>0</v>
      </c>
    </row>
    <row r="288" spans="1:12" s="889" customFormat="1" ht="14.25" customHeight="1">
      <c r="A288" s="1569"/>
      <c r="B288" s="1591" t="s">
        <v>2561</v>
      </c>
      <c r="C288" s="1692" t="s">
        <v>2793</v>
      </c>
      <c r="D288" s="1593"/>
      <c r="E288" s="1548"/>
      <c r="F288" s="904">
        <f>SUM(G288:M288)</f>
        <v>0</v>
      </c>
      <c r="G288" s="1293">
        <f t="shared" ref="G288:L288" si="143">+G143+G42</f>
        <v>0</v>
      </c>
      <c r="H288" s="1293">
        <f t="shared" si="143"/>
        <v>0</v>
      </c>
      <c r="I288" s="1293">
        <f t="shared" si="143"/>
        <v>0</v>
      </c>
      <c r="J288" s="1293">
        <f t="shared" si="143"/>
        <v>0</v>
      </c>
      <c r="K288" s="1293">
        <f t="shared" si="143"/>
        <v>0</v>
      </c>
      <c r="L288" s="1294">
        <f t="shared" si="143"/>
        <v>0</v>
      </c>
    </row>
    <row r="289" spans="1:12" s="889" customFormat="1" ht="14.25" customHeight="1">
      <c r="A289" s="1569"/>
      <c r="B289" s="1594" t="s">
        <v>2563</v>
      </c>
      <c r="C289" s="1212" t="s">
        <v>2794</v>
      </c>
      <c r="D289" s="1593"/>
      <c r="E289" s="1548"/>
      <c r="F289" s="904"/>
      <c r="G289" s="905"/>
      <c r="H289" s="905"/>
      <c r="I289" s="905"/>
      <c r="J289" s="905"/>
      <c r="K289" s="905"/>
      <c r="L289" s="906"/>
    </row>
    <row r="290" spans="1:12" s="889" customFormat="1" ht="15" customHeight="1">
      <c r="A290" s="1569"/>
      <c r="B290" s="1596" t="s">
        <v>2632</v>
      </c>
      <c r="C290" s="1597" t="s">
        <v>2795</v>
      </c>
      <c r="D290" s="1598"/>
      <c r="E290" s="1599">
        <f>+E271</f>
        <v>0</v>
      </c>
      <c r="F290" s="904">
        <f>INT(F271*E290)</f>
        <v>0</v>
      </c>
      <c r="G290" s="905">
        <f>F290-SUM(H290:L290)</f>
        <v>0</v>
      </c>
      <c r="H290" s="905">
        <f>IF(H271=0,0,ROUND($F290/$F271*H271,0))</f>
        <v>0</v>
      </c>
      <c r="I290" s="905">
        <f>IF(I271=0,0,ROUND($F290/$F271*I271,0))</f>
        <v>0</v>
      </c>
      <c r="J290" s="905">
        <f>IF(J271=0,0,ROUND($F290/$F271*J271,0))</f>
        <v>0</v>
      </c>
      <c r="K290" s="905">
        <f>IF(K271=0,0,ROUND($F290/$F271*K271,0))</f>
        <v>0</v>
      </c>
      <c r="L290" s="906">
        <f>IF(L271=0,0,ROUND($F290/$F271*L271,0))</f>
        <v>0</v>
      </c>
    </row>
    <row r="291" spans="1:12" s="889" customFormat="1" ht="15" customHeight="1" thickBot="1">
      <c r="A291" s="1600"/>
      <c r="B291" s="1601"/>
      <c r="C291" s="1602"/>
      <c r="D291" s="1603"/>
      <c r="E291" s="1599"/>
      <c r="F291" s="1135"/>
      <c r="G291" s="905"/>
      <c r="H291" s="1219"/>
      <c r="I291" s="1219"/>
      <c r="J291" s="1219"/>
      <c r="K291" s="1219"/>
      <c r="L291" s="1220"/>
    </row>
    <row r="292" spans="1:12" s="889" customFormat="1" ht="15" customHeight="1" thickTop="1">
      <c r="A292" s="1604"/>
      <c r="B292" s="1605"/>
      <c r="C292" s="1606" t="s">
        <v>2652</v>
      </c>
      <c r="D292" s="1607"/>
      <c r="E292" s="1608"/>
      <c r="F292" s="1160">
        <f>SUM(F273:F291)</f>
        <v>953879</v>
      </c>
      <c r="G292" s="1160">
        <f t="shared" ref="G292:L292" si="144">SUM(G276:G291)+G274</f>
        <v>953879</v>
      </c>
      <c r="H292" s="1160">
        <f t="shared" si="144"/>
        <v>0</v>
      </c>
      <c r="I292" s="1160">
        <f t="shared" si="144"/>
        <v>0</v>
      </c>
      <c r="J292" s="1160">
        <f t="shared" si="144"/>
        <v>0</v>
      </c>
      <c r="K292" s="1160">
        <f t="shared" si="144"/>
        <v>0</v>
      </c>
      <c r="L292" s="1161">
        <f t="shared" si="144"/>
        <v>0</v>
      </c>
    </row>
    <row r="293" spans="1:12" s="889" customFormat="1" ht="15" customHeight="1">
      <c r="A293" s="1609"/>
      <c r="B293" s="1610"/>
      <c r="C293" s="1611" t="s">
        <v>2653</v>
      </c>
      <c r="D293" s="1612"/>
      <c r="E293" s="1613"/>
      <c r="F293" s="939">
        <f>SUM(G293:L293)</f>
        <v>7856075</v>
      </c>
      <c r="G293" s="1064">
        <f t="shared" ref="G293:L293" si="145">+G216+G292</f>
        <v>7856075</v>
      </c>
      <c r="H293" s="1064">
        <f t="shared" si="145"/>
        <v>0</v>
      </c>
      <c r="I293" s="1064">
        <f t="shared" si="145"/>
        <v>0</v>
      </c>
      <c r="J293" s="1064">
        <f t="shared" si="145"/>
        <v>0</v>
      </c>
      <c r="K293" s="1064">
        <f t="shared" si="145"/>
        <v>0</v>
      </c>
      <c r="L293" s="1065">
        <f t="shared" si="145"/>
        <v>0</v>
      </c>
    </row>
    <row r="294" spans="1:12" s="889" customFormat="1" ht="15" customHeight="1">
      <c r="A294" s="1034"/>
      <c r="B294" s="1034"/>
      <c r="C294" s="1556" t="s">
        <v>2716</v>
      </c>
      <c r="D294" s="804"/>
      <c r="E294" s="1033"/>
      <c r="F294" s="1033"/>
      <c r="G294" s="1091"/>
      <c r="H294" s="1037"/>
      <c r="I294" s="1037"/>
      <c r="J294" s="1037"/>
      <c r="K294" s="1037"/>
      <c r="L294" s="1091" t="s">
        <v>2822</v>
      </c>
    </row>
    <row r="295" spans="1:12" s="889" customFormat="1" ht="15" customHeight="1">
      <c r="A295" s="1034"/>
      <c r="B295" s="1034"/>
      <c r="C295" s="1034"/>
      <c r="D295" s="1034"/>
      <c r="E295" s="1034"/>
      <c r="F295" s="1034"/>
      <c r="G295" s="1037"/>
      <c r="H295" s="1037"/>
      <c r="I295" s="1037"/>
      <c r="J295" s="1037"/>
      <c r="K295" s="1037"/>
      <c r="L295" s="1037"/>
    </row>
    <row r="296" spans="1:12" s="889" customFormat="1" ht="15" customHeight="1">
      <c r="A296" s="2920"/>
      <c r="B296" s="2921"/>
      <c r="C296" s="2921"/>
      <c r="D296" s="1614"/>
      <c r="E296" s="1083" t="s">
        <v>2656</v>
      </c>
      <c r="F296" s="1083" t="s">
        <v>2505</v>
      </c>
      <c r="G296" s="1084" t="str">
        <f t="shared" ref="G296:L296" si="146">+G211</f>
        <v>◇◇◇改造工事の部</v>
      </c>
      <c r="H296" s="1084" t="str">
        <f t="shared" si="146"/>
        <v>◇◇◇改造工事の部</v>
      </c>
      <c r="I296" s="1084" t="str">
        <f t="shared" si="146"/>
        <v>◇◇◇改造工事の部</v>
      </c>
      <c r="J296" s="1084" t="str">
        <f t="shared" si="146"/>
        <v>◇◇◇改造工事の部</v>
      </c>
      <c r="K296" s="1084" t="str">
        <f t="shared" si="146"/>
        <v>◇◇◇改造工事の部</v>
      </c>
      <c r="L296" s="1306" t="str">
        <f t="shared" si="146"/>
        <v>◇◇◇改造工事の部</v>
      </c>
    </row>
    <row r="297" spans="1:12" s="889" customFormat="1" ht="15" customHeight="1">
      <c r="A297" s="2922"/>
      <c r="B297" s="2923"/>
      <c r="C297" s="2923"/>
      <c r="D297" s="1167"/>
      <c r="E297" s="926"/>
      <c r="F297" s="1615"/>
      <c r="G297" s="1169"/>
      <c r="H297" s="1169"/>
      <c r="I297" s="1169"/>
      <c r="J297" s="1169"/>
      <c r="K297" s="1169"/>
      <c r="L297" s="1693"/>
    </row>
    <row r="298" spans="1:12" s="889" customFormat="1" ht="15" customHeight="1">
      <c r="A298" s="1616"/>
      <c r="B298" s="1617"/>
      <c r="C298" s="1618" t="s">
        <v>2797</v>
      </c>
      <c r="D298" s="1619"/>
      <c r="E298" s="1620"/>
      <c r="F298" s="900">
        <f t="shared" ref="F298:L298" si="147">+F293</f>
        <v>7856075</v>
      </c>
      <c r="G298" s="900">
        <f t="shared" si="147"/>
        <v>7856075</v>
      </c>
      <c r="H298" s="900">
        <f t="shared" si="147"/>
        <v>0</v>
      </c>
      <c r="I298" s="900">
        <f t="shared" si="147"/>
        <v>0</v>
      </c>
      <c r="J298" s="900">
        <f t="shared" si="147"/>
        <v>0</v>
      </c>
      <c r="K298" s="900">
        <f t="shared" si="147"/>
        <v>0</v>
      </c>
      <c r="L298" s="1694">
        <f t="shared" si="147"/>
        <v>0</v>
      </c>
    </row>
    <row r="299" spans="1:12" s="889" customFormat="1" ht="15" customHeight="1">
      <c r="A299" s="1621"/>
      <c r="B299" s="1622"/>
      <c r="C299" s="1623"/>
      <c r="D299" s="1624"/>
      <c r="E299" s="1625" t="s">
        <v>2798</v>
      </c>
      <c r="F299" s="904">
        <f>SUM(G299:L299)</f>
        <v>1924977</v>
      </c>
      <c r="G299" s="905">
        <f t="shared" ref="G299:L299" si="148">G257+SUM(G285:G290)+G250+G251+G276</f>
        <v>1924977</v>
      </c>
      <c r="H299" s="905">
        <f t="shared" si="148"/>
        <v>0</v>
      </c>
      <c r="I299" s="905">
        <f t="shared" si="148"/>
        <v>0</v>
      </c>
      <c r="J299" s="905">
        <f t="shared" si="148"/>
        <v>0</v>
      </c>
      <c r="K299" s="905">
        <f t="shared" si="148"/>
        <v>0</v>
      </c>
      <c r="L299" s="906">
        <f t="shared" si="148"/>
        <v>0</v>
      </c>
    </row>
    <row r="300" spans="1:12" s="889" customFormat="1" ht="15" customHeight="1">
      <c r="A300" s="1609"/>
      <c r="B300" s="1610"/>
      <c r="C300" s="1626"/>
      <c r="D300" s="1612"/>
      <c r="E300" s="1627"/>
      <c r="F300" s="939"/>
      <c r="G300" s="1064"/>
      <c r="H300" s="1064"/>
      <c r="I300" s="1064"/>
      <c r="J300" s="1064"/>
      <c r="K300" s="1064"/>
      <c r="L300" s="1695"/>
    </row>
    <row r="301" spans="1:12" s="889" customFormat="1" ht="15" customHeight="1">
      <c r="A301" s="1558"/>
      <c r="B301" s="1559"/>
      <c r="C301" s="1559"/>
      <c r="D301" s="1628"/>
      <c r="E301" s="1620" t="str">
        <f>E211</f>
        <v>無し</v>
      </c>
      <c r="F301" s="2910" t="s">
        <v>2660</v>
      </c>
      <c r="G301" s="2910"/>
      <c r="H301" s="1068"/>
      <c r="I301" s="1068"/>
      <c r="J301" s="1068"/>
      <c r="K301" s="1068"/>
      <c r="L301" s="1696"/>
    </row>
    <row r="302" spans="1:12" s="889" customFormat="1" ht="15" customHeight="1">
      <c r="A302" s="2911" t="s">
        <v>2661</v>
      </c>
      <c r="B302" s="2911"/>
      <c r="C302" s="2912"/>
      <c r="D302" s="1629"/>
      <c r="E302" s="1627" t="str">
        <f>+E212</f>
        <v>有り</v>
      </c>
      <c r="F302" s="2913" t="s">
        <v>2662</v>
      </c>
      <c r="G302" s="2913"/>
      <c r="H302" s="1064"/>
      <c r="I302" s="1064"/>
      <c r="J302" s="1064"/>
      <c r="K302" s="1064"/>
      <c r="L302" s="1695"/>
    </row>
    <row r="303" spans="1:12" s="889" customFormat="1" ht="15" customHeight="1">
      <c r="A303" s="2924"/>
      <c r="B303" s="1630" t="s">
        <v>161</v>
      </c>
      <c r="C303" s="1631" t="s">
        <v>2799</v>
      </c>
      <c r="D303" s="1632"/>
      <c r="E303" s="1633">
        <f>G352/100</f>
        <v>0.1724</v>
      </c>
      <c r="F303" s="900">
        <f>SUM(G303:L303)</f>
        <v>1924977</v>
      </c>
      <c r="G303" s="1068">
        <f t="shared" ref="G303:L303" si="149">+G298-SUM(G307:G308)</f>
        <v>1924977</v>
      </c>
      <c r="H303" s="1068">
        <f t="shared" si="149"/>
        <v>0</v>
      </c>
      <c r="I303" s="1068">
        <f t="shared" si="149"/>
        <v>0</v>
      </c>
      <c r="J303" s="1068">
        <f t="shared" si="149"/>
        <v>0</v>
      </c>
      <c r="K303" s="1068">
        <f t="shared" si="149"/>
        <v>0</v>
      </c>
      <c r="L303" s="1069">
        <f t="shared" si="149"/>
        <v>0</v>
      </c>
    </row>
    <row r="304" spans="1:12" s="889" customFormat="1" ht="15" customHeight="1">
      <c r="A304" s="2925"/>
      <c r="B304" s="2918" t="s">
        <v>2664</v>
      </c>
      <c r="C304" s="1634" t="s">
        <v>2665</v>
      </c>
      <c r="D304" s="1593"/>
      <c r="E304" s="1635">
        <f>IF(E301="無し",0.05,0)</f>
        <v>0.05</v>
      </c>
      <c r="F304" s="904">
        <f>SUM(G304:L304)</f>
        <v>930768</v>
      </c>
      <c r="G304" s="905">
        <f t="shared" ref="G304:L304" si="150">+G313+SUM(G317:G320)</f>
        <v>930768</v>
      </c>
      <c r="H304" s="905">
        <f t="shared" si="150"/>
        <v>0</v>
      </c>
      <c r="I304" s="905">
        <f t="shared" si="150"/>
        <v>0</v>
      </c>
      <c r="J304" s="905">
        <f t="shared" si="150"/>
        <v>0</v>
      </c>
      <c r="K304" s="905">
        <f t="shared" si="150"/>
        <v>0</v>
      </c>
      <c r="L304" s="906">
        <f t="shared" si="150"/>
        <v>0</v>
      </c>
    </row>
    <row r="305" spans="1:12" s="889" customFormat="1" ht="15" customHeight="1">
      <c r="A305" s="2925"/>
      <c r="B305" s="2918"/>
      <c r="C305" s="1634" t="s">
        <v>2666</v>
      </c>
      <c r="D305" s="1636"/>
      <c r="E305" s="1548">
        <f>IF(E302="無し",0,0.0004)</f>
        <v>4.0000000000000002E-4</v>
      </c>
      <c r="F305" s="904">
        <f>SUM(G305:L305)</f>
        <v>7856075</v>
      </c>
      <c r="G305" s="905">
        <f t="shared" ref="G305:L305" si="151">+G298</f>
        <v>7856075</v>
      </c>
      <c r="H305" s="905">
        <f t="shared" si="151"/>
        <v>0</v>
      </c>
      <c r="I305" s="905">
        <f t="shared" si="151"/>
        <v>0</v>
      </c>
      <c r="J305" s="905">
        <f t="shared" si="151"/>
        <v>0</v>
      </c>
      <c r="K305" s="905">
        <f t="shared" si="151"/>
        <v>0</v>
      </c>
      <c r="L305" s="906">
        <f t="shared" si="151"/>
        <v>0</v>
      </c>
    </row>
    <row r="306" spans="1:12" s="889" customFormat="1" ht="15" customHeight="1">
      <c r="A306" s="2925"/>
      <c r="B306" s="2926" t="s">
        <v>2800</v>
      </c>
      <c r="C306" s="1634"/>
      <c r="D306" s="1637"/>
      <c r="E306" s="1637"/>
      <c r="F306" s="904"/>
      <c r="G306" s="905"/>
      <c r="H306" s="905"/>
      <c r="I306" s="905"/>
      <c r="J306" s="905"/>
      <c r="K306" s="905"/>
      <c r="L306" s="906"/>
    </row>
    <row r="307" spans="1:12" s="889" customFormat="1" ht="15" customHeight="1">
      <c r="A307" s="2925"/>
      <c r="B307" s="2927"/>
      <c r="C307" s="1638" t="s">
        <v>2801</v>
      </c>
      <c r="D307" s="1637"/>
      <c r="E307" s="1637"/>
      <c r="F307" s="904">
        <f>SUM(G307:L307)</f>
        <v>5931098</v>
      </c>
      <c r="G307" s="905">
        <f t="shared" ref="G307:L307" si="152">+SUM(G260:G267,G277:G284)</f>
        <v>5931098</v>
      </c>
      <c r="H307" s="905">
        <f t="shared" si="152"/>
        <v>0</v>
      </c>
      <c r="I307" s="905">
        <f t="shared" si="152"/>
        <v>0</v>
      </c>
      <c r="J307" s="905">
        <f t="shared" si="152"/>
        <v>0</v>
      </c>
      <c r="K307" s="905">
        <f t="shared" si="152"/>
        <v>0</v>
      </c>
      <c r="L307" s="906">
        <f t="shared" si="152"/>
        <v>0</v>
      </c>
    </row>
    <row r="308" spans="1:12" s="889" customFormat="1" ht="15" customHeight="1">
      <c r="A308" s="2925"/>
      <c r="B308" s="2918" t="s">
        <v>2667</v>
      </c>
      <c r="C308" s="1195" t="s">
        <v>2802</v>
      </c>
      <c r="D308" s="1639"/>
      <c r="E308" s="1590">
        <v>0</v>
      </c>
      <c r="F308" s="904">
        <f>SUM(G308:L308)</f>
        <v>0</v>
      </c>
      <c r="G308" s="905">
        <f t="shared" ref="G308:L308" si="153">+G252</f>
        <v>0</v>
      </c>
      <c r="H308" s="905">
        <f t="shared" si="153"/>
        <v>0</v>
      </c>
      <c r="I308" s="905">
        <f t="shared" si="153"/>
        <v>0</v>
      </c>
      <c r="J308" s="905">
        <f t="shared" si="153"/>
        <v>0</v>
      </c>
      <c r="K308" s="905">
        <f t="shared" si="153"/>
        <v>0</v>
      </c>
      <c r="L308" s="906">
        <f t="shared" si="153"/>
        <v>0</v>
      </c>
    </row>
    <row r="309" spans="1:12" s="889" customFormat="1" ht="15" customHeight="1">
      <c r="A309" s="2925"/>
      <c r="B309" s="2918"/>
      <c r="C309" s="1624"/>
      <c r="D309" s="1640"/>
      <c r="E309" s="1590"/>
      <c r="F309" s="904"/>
      <c r="G309" s="905"/>
      <c r="H309" s="905"/>
      <c r="I309" s="905"/>
      <c r="J309" s="905"/>
      <c r="K309" s="905"/>
      <c r="L309" s="1662"/>
    </row>
    <row r="310" spans="1:12" s="889" customFormat="1" ht="15" customHeight="1">
      <c r="A310" s="2925"/>
      <c r="B310" s="2926"/>
      <c r="C310" s="1641"/>
      <c r="D310" s="1642"/>
      <c r="E310" s="1643"/>
      <c r="F310" s="939"/>
      <c r="G310" s="1064"/>
      <c r="H310" s="1064"/>
      <c r="I310" s="1064"/>
      <c r="J310" s="1064"/>
      <c r="K310" s="1064"/>
      <c r="L310" s="1695"/>
    </row>
    <row r="311" spans="1:12" s="889" customFormat="1" ht="15" customHeight="1">
      <c r="A311" s="1558"/>
      <c r="B311" s="1559"/>
      <c r="C311" s="1644"/>
      <c r="D311" s="1645"/>
      <c r="E311" s="1646"/>
      <c r="F311" s="900"/>
      <c r="G311" s="1068"/>
      <c r="H311" s="1068"/>
      <c r="I311" s="1068"/>
      <c r="J311" s="1068"/>
      <c r="K311" s="1068"/>
      <c r="L311" s="1696"/>
    </row>
    <row r="312" spans="1:12" s="889" customFormat="1" ht="15" customHeight="1">
      <c r="A312" s="2911" t="s">
        <v>2668</v>
      </c>
      <c r="B312" s="2911"/>
      <c r="C312" s="2928"/>
      <c r="D312" s="1647"/>
      <c r="E312" s="1648"/>
      <c r="F312" s="939"/>
      <c r="G312" s="1064"/>
      <c r="H312" s="1064"/>
      <c r="I312" s="1064"/>
      <c r="J312" s="1064"/>
      <c r="K312" s="1064"/>
      <c r="L312" s="1695"/>
    </row>
    <row r="313" spans="1:12" s="889" customFormat="1" ht="15" customHeight="1">
      <c r="A313" s="1649"/>
      <c r="B313" s="1048" t="s">
        <v>161</v>
      </c>
      <c r="C313" s="1650" t="s">
        <v>2803</v>
      </c>
      <c r="D313" s="1632"/>
      <c r="E313" s="1651">
        <f>+E303</f>
        <v>0.1724</v>
      </c>
      <c r="F313" s="900">
        <f>INT(F303*E313)</f>
        <v>331866</v>
      </c>
      <c r="G313" s="1068">
        <f>F313-SUM(H313:L313)</f>
        <v>331866</v>
      </c>
      <c r="H313" s="1068">
        <f t="shared" ref="H313:L315" si="154">IF(H303=0,0,ROUND($F313/$F303*H303,0))</f>
        <v>0</v>
      </c>
      <c r="I313" s="1068">
        <f t="shared" si="154"/>
        <v>0</v>
      </c>
      <c r="J313" s="1068">
        <f t="shared" si="154"/>
        <v>0</v>
      </c>
      <c r="K313" s="1068">
        <f t="shared" si="154"/>
        <v>0</v>
      </c>
      <c r="L313" s="1069">
        <f t="shared" si="154"/>
        <v>0</v>
      </c>
    </row>
    <row r="314" spans="1:12" s="889" customFormat="1" ht="15" customHeight="1">
      <c r="A314" s="1649"/>
      <c r="B314" s="2918" t="s">
        <v>2664</v>
      </c>
      <c r="C314" s="1634" t="s">
        <v>2665</v>
      </c>
      <c r="D314" s="1639"/>
      <c r="E314" s="1548">
        <f>+E304</f>
        <v>0.05</v>
      </c>
      <c r="F314" s="904">
        <f>INT(F304*E314)</f>
        <v>46538</v>
      </c>
      <c r="G314" s="905">
        <f>F314-SUM(H314:L314)</f>
        <v>46538</v>
      </c>
      <c r="H314" s="905">
        <f t="shared" si="154"/>
        <v>0</v>
      </c>
      <c r="I314" s="905">
        <f t="shared" si="154"/>
        <v>0</v>
      </c>
      <c r="J314" s="905">
        <f t="shared" si="154"/>
        <v>0</v>
      </c>
      <c r="K314" s="905">
        <f t="shared" si="154"/>
        <v>0</v>
      </c>
      <c r="L314" s="906">
        <f t="shared" si="154"/>
        <v>0</v>
      </c>
    </row>
    <row r="315" spans="1:12" s="889" customFormat="1" ht="15" customHeight="1">
      <c r="A315" s="1649"/>
      <c r="B315" s="2918"/>
      <c r="C315" s="1634" t="s">
        <v>2666</v>
      </c>
      <c r="D315" s="1639"/>
      <c r="E315" s="1548">
        <f>+E305</f>
        <v>4.0000000000000002E-4</v>
      </c>
      <c r="F315" s="904">
        <f>INT(F305*E315)</f>
        <v>3142</v>
      </c>
      <c r="G315" s="905">
        <f>F315-SUM(H315:L315)</f>
        <v>3142</v>
      </c>
      <c r="H315" s="905">
        <f t="shared" si="154"/>
        <v>0</v>
      </c>
      <c r="I315" s="905">
        <f t="shared" si="154"/>
        <v>0</v>
      </c>
      <c r="J315" s="905">
        <f t="shared" si="154"/>
        <v>0</v>
      </c>
      <c r="K315" s="905">
        <f t="shared" si="154"/>
        <v>0</v>
      </c>
      <c r="L315" s="906">
        <f t="shared" si="154"/>
        <v>0</v>
      </c>
    </row>
    <row r="316" spans="1:12" s="889" customFormat="1" ht="15" customHeight="1">
      <c r="A316" s="1649"/>
      <c r="B316" s="2926" t="s">
        <v>2800</v>
      </c>
      <c r="C316" s="1634"/>
      <c r="D316" s="1637"/>
      <c r="E316" s="1652" t="s">
        <v>2804</v>
      </c>
      <c r="F316" s="904"/>
      <c r="G316" s="905"/>
      <c r="H316" s="905"/>
      <c r="I316" s="905"/>
      <c r="J316" s="905"/>
      <c r="K316" s="905"/>
      <c r="L316" s="1662"/>
    </row>
    <row r="317" spans="1:12" s="889" customFormat="1" ht="15" customHeight="1">
      <c r="A317" s="1649"/>
      <c r="B317" s="2927"/>
      <c r="C317" s="1638" t="s">
        <v>2801</v>
      </c>
      <c r="D317" s="1637"/>
      <c r="E317" s="1637"/>
      <c r="F317" s="904">
        <f>SUM(G317:L317)</f>
        <v>598902</v>
      </c>
      <c r="G317" s="905">
        <f t="shared" ref="G317:L317" si="155">SUM(G235:G242)-SUM(G260:G267)-SUM(G277:G284)</f>
        <v>598902</v>
      </c>
      <c r="H317" s="905">
        <f t="shared" si="155"/>
        <v>0</v>
      </c>
      <c r="I317" s="905">
        <f t="shared" si="155"/>
        <v>0</v>
      </c>
      <c r="J317" s="905">
        <f t="shared" si="155"/>
        <v>0</v>
      </c>
      <c r="K317" s="905">
        <f t="shared" si="155"/>
        <v>0</v>
      </c>
      <c r="L317" s="906">
        <f t="shared" si="155"/>
        <v>0</v>
      </c>
    </row>
    <row r="318" spans="1:12" s="889" customFormat="1" ht="15" customHeight="1">
      <c r="A318" s="1649"/>
      <c r="B318" s="2918" t="s">
        <v>2667</v>
      </c>
      <c r="C318" s="1195" t="s">
        <v>2802</v>
      </c>
      <c r="D318" s="1639"/>
      <c r="E318" s="1548">
        <f>+E308</f>
        <v>0</v>
      </c>
      <c r="F318" s="904">
        <f>SUM(G318:L318)</f>
        <v>0</v>
      </c>
      <c r="G318" s="905">
        <f t="shared" ref="G318:L318" si="156">ROUNDDOWN($E318*$D318*G308,0)</f>
        <v>0</v>
      </c>
      <c r="H318" s="905">
        <f t="shared" si="156"/>
        <v>0</v>
      </c>
      <c r="I318" s="905">
        <f t="shared" si="156"/>
        <v>0</v>
      </c>
      <c r="J318" s="905">
        <f t="shared" si="156"/>
        <v>0</v>
      </c>
      <c r="K318" s="905">
        <f t="shared" si="156"/>
        <v>0</v>
      </c>
      <c r="L318" s="1662">
        <f t="shared" si="156"/>
        <v>0</v>
      </c>
    </row>
    <row r="319" spans="1:12" s="889" customFormat="1" ht="15" customHeight="1">
      <c r="A319" s="1649"/>
      <c r="B319" s="2918"/>
      <c r="C319" s="1624"/>
      <c r="D319" s="1640"/>
      <c r="E319" s="1637">
        <f>+G310</f>
        <v>0</v>
      </c>
      <c r="F319" s="904"/>
      <c r="G319" s="905"/>
      <c r="H319" s="905"/>
      <c r="I319" s="905"/>
      <c r="J319" s="905"/>
      <c r="K319" s="905"/>
      <c r="L319" s="1662"/>
    </row>
    <row r="320" spans="1:12" s="889" customFormat="1" ht="15" customHeight="1">
      <c r="A320" s="1653"/>
      <c r="B320" s="2931"/>
      <c r="C320" s="1612"/>
      <c r="D320" s="1642"/>
      <c r="E320" s="1648">
        <f>+G311</f>
        <v>0</v>
      </c>
      <c r="F320" s="939"/>
      <c r="G320" s="1064"/>
      <c r="H320" s="1064"/>
      <c r="I320" s="1064"/>
      <c r="J320" s="1064"/>
      <c r="K320" s="1064"/>
      <c r="L320" s="1695"/>
    </row>
    <row r="321" spans="1:12" s="889" customFormat="1" ht="15" customHeight="1">
      <c r="A321" s="1616"/>
      <c r="B321" s="1617"/>
      <c r="C321" s="1617"/>
      <c r="D321" s="1654"/>
      <c r="E321" s="1654"/>
      <c r="F321" s="900"/>
      <c r="G321" s="1068"/>
      <c r="H321" s="1068"/>
      <c r="I321" s="1068"/>
      <c r="J321" s="1068"/>
      <c r="K321" s="1068"/>
      <c r="L321" s="1696"/>
    </row>
    <row r="322" spans="1:12" s="889" customFormat="1" ht="15" customHeight="1">
      <c r="A322" s="1621"/>
      <c r="B322" s="1622"/>
      <c r="C322" s="1655" t="s">
        <v>2672</v>
      </c>
      <c r="D322" s="1624"/>
      <c r="E322" s="1634"/>
      <c r="F322" s="904">
        <f>SUM(G322:L322)</f>
        <v>980448</v>
      </c>
      <c r="G322" s="905">
        <f t="shared" ref="G322:L322" si="157">SUM(G313:G320)</f>
        <v>980448</v>
      </c>
      <c r="H322" s="905">
        <f t="shared" si="157"/>
        <v>0</v>
      </c>
      <c r="I322" s="905">
        <f t="shared" si="157"/>
        <v>0</v>
      </c>
      <c r="J322" s="905">
        <f t="shared" si="157"/>
        <v>0</v>
      </c>
      <c r="K322" s="905">
        <f t="shared" si="157"/>
        <v>0</v>
      </c>
      <c r="L322" s="1662">
        <f t="shared" si="157"/>
        <v>0</v>
      </c>
    </row>
    <row r="323" spans="1:12" s="889" customFormat="1" ht="15" customHeight="1">
      <c r="A323" s="1621"/>
      <c r="B323" s="1622"/>
      <c r="C323" s="1655" t="s">
        <v>2653</v>
      </c>
      <c r="D323" s="1624"/>
      <c r="E323" s="1634"/>
      <c r="F323" s="904">
        <f>SUM(G323:L323)</f>
        <v>7856075</v>
      </c>
      <c r="G323" s="905">
        <f t="shared" ref="G323:L323" si="158">+G298</f>
        <v>7856075</v>
      </c>
      <c r="H323" s="905">
        <f t="shared" si="158"/>
        <v>0</v>
      </c>
      <c r="I323" s="905">
        <f t="shared" si="158"/>
        <v>0</v>
      </c>
      <c r="J323" s="905">
        <f t="shared" si="158"/>
        <v>0</v>
      </c>
      <c r="K323" s="905">
        <f t="shared" si="158"/>
        <v>0</v>
      </c>
      <c r="L323" s="1662">
        <f t="shared" si="158"/>
        <v>0</v>
      </c>
    </row>
    <row r="324" spans="1:12" s="889" customFormat="1" ht="15" customHeight="1" thickBot="1">
      <c r="A324" s="1656"/>
      <c r="B324" s="1657"/>
      <c r="C324" s="1658" t="s">
        <v>2673</v>
      </c>
      <c r="D324" s="1659"/>
      <c r="E324" s="1660"/>
      <c r="F324" s="1135">
        <f>SUM(G324:L324)</f>
        <v>8836523</v>
      </c>
      <c r="G324" s="1219">
        <f t="shared" ref="G324:L324" si="159">SUM(G322:G323)</f>
        <v>8836523</v>
      </c>
      <c r="H324" s="1219">
        <f t="shared" si="159"/>
        <v>0</v>
      </c>
      <c r="I324" s="1219">
        <f t="shared" si="159"/>
        <v>0</v>
      </c>
      <c r="J324" s="1219">
        <f t="shared" si="159"/>
        <v>0</v>
      </c>
      <c r="K324" s="1219">
        <f t="shared" si="159"/>
        <v>0</v>
      </c>
      <c r="L324" s="1697">
        <f t="shared" si="159"/>
        <v>0</v>
      </c>
    </row>
    <row r="325" spans="1:12" s="889" customFormat="1" ht="15" customHeight="1" thickTop="1">
      <c r="A325" s="1649"/>
      <c r="B325" s="1034"/>
      <c r="C325" s="1034"/>
      <c r="D325" s="1296"/>
      <c r="E325" s="1296"/>
      <c r="F325" s="919"/>
      <c r="G325" s="1066"/>
      <c r="H325" s="1066"/>
      <c r="I325" s="1066"/>
      <c r="J325" s="1066"/>
      <c r="K325" s="1066"/>
      <c r="L325" s="1661"/>
    </row>
    <row r="326" spans="1:12" s="889" customFormat="1" ht="15" customHeight="1">
      <c r="A326" s="1621"/>
      <c r="B326" s="1622"/>
      <c r="C326" s="1655" t="s">
        <v>2653</v>
      </c>
      <c r="D326" s="1624"/>
      <c r="E326" s="1634"/>
      <c r="F326" s="904">
        <f>SUM(G326:L326)</f>
        <v>7856075</v>
      </c>
      <c r="G326" s="905">
        <f t="shared" ref="G326:L326" si="160">+G323</f>
        <v>7856075</v>
      </c>
      <c r="H326" s="905">
        <f t="shared" si="160"/>
        <v>0</v>
      </c>
      <c r="I326" s="905">
        <f t="shared" si="160"/>
        <v>0</v>
      </c>
      <c r="J326" s="905">
        <f t="shared" si="160"/>
        <v>0</v>
      </c>
      <c r="K326" s="905">
        <f t="shared" si="160"/>
        <v>0</v>
      </c>
      <c r="L326" s="1662">
        <f t="shared" si="160"/>
        <v>0</v>
      </c>
    </row>
    <row r="327" spans="1:12" s="889" customFormat="1" ht="15" customHeight="1">
      <c r="A327" s="1621"/>
      <c r="B327" s="1622"/>
      <c r="C327" s="1655" t="s">
        <v>2674</v>
      </c>
      <c r="D327" s="1624"/>
      <c r="E327" s="1634"/>
      <c r="F327" s="904">
        <f>SUM(G327:L327)</f>
        <v>979925</v>
      </c>
      <c r="G327" s="905">
        <f t="shared" ref="G327:L327" si="161">+G322-(G324-G329)</f>
        <v>979925</v>
      </c>
      <c r="H327" s="905">
        <f t="shared" si="161"/>
        <v>0</v>
      </c>
      <c r="I327" s="905">
        <f t="shared" si="161"/>
        <v>0</v>
      </c>
      <c r="J327" s="905">
        <f t="shared" si="161"/>
        <v>0</v>
      </c>
      <c r="K327" s="905">
        <f t="shared" si="161"/>
        <v>0</v>
      </c>
      <c r="L327" s="1662">
        <f t="shared" si="161"/>
        <v>0</v>
      </c>
    </row>
    <row r="328" spans="1:12" s="889" customFormat="1" ht="15" customHeight="1">
      <c r="A328" s="1621"/>
      <c r="B328" s="1622"/>
      <c r="C328" s="1622"/>
      <c r="D328" s="1634"/>
      <c r="E328" s="1663">
        <f>F330+SUM(H329:L329)</f>
        <v>8836000</v>
      </c>
      <c r="F328" s="904" t="s">
        <v>2675</v>
      </c>
      <c r="G328" s="905">
        <f t="shared" ref="G328:L328" si="162">+G322-G327</f>
        <v>523</v>
      </c>
      <c r="H328" s="905">
        <f t="shared" si="162"/>
        <v>0</v>
      </c>
      <c r="I328" s="905">
        <f t="shared" si="162"/>
        <v>0</v>
      </c>
      <c r="J328" s="905">
        <f t="shared" si="162"/>
        <v>0</v>
      </c>
      <c r="K328" s="1224">
        <f t="shared" si="162"/>
        <v>0</v>
      </c>
      <c r="L328" s="1664">
        <f t="shared" si="162"/>
        <v>0</v>
      </c>
    </row>
    <row r="329" spans="1:12" s="889" customFormat="1" ht="15" customHeight="1">
      <c r="A329" s="1226"/>
      <c r="B329" s="1054"/>
      <c r="C329" s="1054" t="s">
        <v>2676</v>
      </c>
      <c r="D329" s="1227"/>
      <c r="E329" s="1663">
        <f>ROUNDDOWN(E328,4-LEN(E328))</f>
        <v>8836000</v>
      </c>
      <c r="F329" s="1228">
        <f>SUM(G329:L329)</f>
        <v>8836000</v>
      </c>
      <c r="G329" s="1224">
        <f>F330-E330</f>
        <v>8836000</v>
      </c>
      <c r="H329" s="1224">
        <f>ROUNDDOWN(H324,H330)</f>
        <v>0</v>
      </c>
      <c r="I329" s="1224">
        <f>ROUNDDOWN(I324,I330)</f>
        <v>0</v>
      </c>
      <c r="J329" s="1224">
        <f>ROUNDDOWN(J324,J330)</f>
        <v>0</v>
      </c>
      <c r="K329" s="1224">
        <f>ROUNDDOWN(K324,K330)</f>
        <v>0</v>
      </c>
      <c r="L329" s="1664">
        <f>ROUNDDOWN(L324,L330)</f>
        <v>0</v>
      </c>
    </row>
    <row r="330" spans="1:12" s="889" customFormat="1" ht="15" customHeight="1">
      <c r="A330" s="1229"/>
      <c r="B330" s="1230"/>
      <c r="C330" s="1230"/>
      <c r="D330" s="1231"/>
      <c r="E330" s="1233">
        <f>E328-E329</f>
        <v>0</v>
      </c>
      <c r="F330" s="1233">
        <f>ROUNDDOWN(G324,G330)</f>
        <v>8836000</v>
      </c>
      <c r="G330" s="1232">
        <f t="shared" ref="G330:L330" si="163">IF(LEN(G324)&lt;=7,-3,IF(LEN(G324)=8,-4,IF(LEN(G324)&gt;=9,-5,-6)))</f>
        <v>-3</v>
      </c>
      <c r="H330" s="1232">
        <f t="shared" si="163"/>
        <v>-3</v>
      </c>
      <c r="I330" s="1232">
        <f t="shared" si="163"/>
        <v>-3</v>
      </c>
      <c r="J330" s="1232">
        <f t="shared" si="163"/>
        <v>-3</v>
      </c>
      <c r="K330" s="1232">
        <f t="shared" si="163"/>
        <v>-3</v>
      </c>
      <c r="L330" s="1665">
        <f t="shared" si="163"/>
        <v>-3</v>
      </c>
    </row>
    <row r="331" spans="1:12" s="1278" customFormat="1" ht="13.5" customHeight="1" thickBot="1">
      <c r="G331" s="1279"/>
      <c r="H331" s="1279"/>
      <c r="I331" s="1279"/>
      <c r="J331" s="1279"/>
      <c r="K331" s="1279"/>
      <c r="L331" s="1279"/>
    </row>
    <row r="332" spans="1:12" s="1278" customFormat="1" ht="13.5" customHeight="1">
      <c r="A332" s="1238"/>
      <c r="B332" s="1239"/>
      <c r="C332" s="1240" t="s">
        <v>2692</v>
      </c>
      <c r="D332" s="1241"/>
      <c r="E332" s="1239"/>
      <c r="F332" s="1242" t="s">
        <v>2678</v>
      </c>
      <c r="G332" s="1666">
        <f t="shared" ref="G332:L332" si="164">+G340</f>
        <v>3.5</v>
      </c>
      <c r="H332" s="1666">
        <f t="shared" si="164"/>
        <v>0</v>
      </c>
      <c r="I332" s="1666">
        <f t="shared" si="164"/>
        <v>0</v>
      </c>
      <c r="J332" s="1666">
        <f t="shared" si="164"/>
        <v>0</v>
      </c>
      <c r="K332" s="1666">
        <f t="shared" si="164"/>
        <v>0</v>
      </c>
      <c r="L332" s="1698">
        <f t="shared" si="164"/>
        <v>0</v>
      </c>
    </row>
    <row r="333" spans="1:12" s="1278" customFormat="1" ht="13.5" customHeight="1">
      <c r="A333" s="2802"/>
      <c r="B333" s="2805" t="s">
        <v>2679</v>
      </c>
      <c r="C333" s="1245" t="s">
        <v>2693</v>
      </c>
      <c r="D333" s="1054"/>
      <c r="E333" s="1246"/>
      <c r="F333" s="1247" t="s">
        <v>2805</v>
      </c>
      <c r="G333" s="1667">
        <f t="shared" ref="G333:L333" si="165">IF($F257&lt;=10000000,ROUND(151.08*((10000)^-0.3396)*(G332^0.586),2),ROUND(151.08*(($F257/1000)^-0.3396)*(G332^0.586),2))</f>
        <v>13.79</v>
      </c>
      <c r="H333" s="1667">
        <f t="shared" si="165"/>
        <v>0</v>
      </c>
      <c r="I333" s="1667">
        <f t="shared" si="165"/>
        <v>0</v>
      </c>
      <c r="J333" s="1667">
        <f t="shared" si="165"/>
        <v>0</v>
      </c>
      <c r="K333" s="1667">
        <f t="shared" si="165"/>
        <v>0</v>
      </c>
      <c r="L333" s="1699">
        <f t="shared" si="165"/>
        <v>0</v>
      </c>
    </row>
    <row r="334" spans="1:12" s="1278" customFormat="1" ht="13.5" customHeight="1">
      <c r="A334" s="2803"/>
      <c r="B334" s="2806"/>
      <c r="C334" s="2808" t="s">
        <v>2695</v>
      </c>
      <c r="D334" s="1124"/>
      <c r="E334" s="1249"/>
      <c r="F334" s="1247" t="s">
        <v>2683</v>
      </c>
      <c r="G334" s="1668">
        <f t="shared" ref="G334:L334" si="166">IF($F257&lt;=10000000,ROUND(20.13,2),0)</f>
        <v>20.13</v>
      </c>
      <c r="H334" s="1668">
        <f t="shared" si="166"/>
        <v>20.13</v>
      </c>
      <c r="I334" s="1668">
        <f t="shared" si="166"/>
        <v>20.13</v>
      </c>
      <c r="J334" s="1668">
        <f t="shared" si="166"/>
        <v>20.13</v>
      </c>
      <c r="K334" s="1668">
        <f t="shared" si="166"/>
        <v>20.13</v>
      </c>
      <c r="L334" s="1700">
        <f t="shared" si="166"/>
        <v>20.13</v>
      </c>
    </row>
    <row r="335" spans="1:12" s="1278" customFormat="1" ht="13.5" customHeight="1">
      <c r="A335" s="2803"/>
      <c r="B335" s="2806"/>
      <c r="C335" s="2932"/>
      <c r="D335" s="1251"/>
      <c r="E335" s="1252"/>
      <c r="F335" s="1247" t="s">
        <v>2684</v>
      </c>
      <c r="G335" s="1668">
        <f t="shared" ref="G335:L335" si="167">IF($F257&lt;=10000000,ROUND(10.01,2),0)</f>
        <v>10.01</v>
      </c>
      <c r="H335" s="1668">
        <f t="shared" si="167"/>
        <v>10.01</v>
      </c>
      <c r="I335" s="1668">
        <f t="shared" si="167"/>
        <v>10.01</v>
      </c>
      <c r="J335" s="1668">
        <f t="shared" si="167"/>
        <v>10.01</v>
      </c>
      <c r="K335" s="1668">
        <f t="shared" si="167"/>
        <v>10.01</v>
      </c>
      <c r="L335" s="1700">
        <f t="shared" si="167"/>
        <v>10.01</v>
      </c>
    </row>
    <row r="336" spans="1:12" s="1278" customFormat="1" ht="13.5" customHeight="1">
      <c r="A336" s="2803"/>
      <c r="B336" s="2806"/>
      <c r="C336" s="2808" t="s">
        <v>2696</v>
      </c>
      <c r="D336" s="1124"/>
      <c r="E336" s="1249"/>
      <c r="F336" s="1247" t="s">
        <v>2683</v>
      </c>
      <c r="G336" s="1669">
        <f t="shared" ref="G336:L336" si="168">IF($F257&gt;10000000,ROUND(75.97*($F257/1000)^-0.1442,2),0)</f>
        <v>0</v>
      </c>
      <c r="H336" s="1669">
        <f t="shared" si="168"/>
        <v>0</v>
      </c>
      <c r="I336" s="1669">
        <f t="shared" si="168"/>
        <v>0</v>
      </c>
      <c r="J336" s="1669">
        <f t="shared" si="168"/>
        <v>0</v>
      </c>
      <c r="K336" s="1669">
        <f t="shared" si="168"/>
        <v>0</v>
      </c>
      <c r="L336" s="1701">
        <f t="shared" si="168"/>
        <v>0</v>
      </c>
    </row>
    <row r="337" spans="1:12" s="1278" customFormat="1" ht="13.5" customHeight="1">
      <c r="A337" s="2804"/>
      <c r="B337" s="2807"/>
      <c r="C337" s="2932"/>
      <c r="D337" s="1251"/>
      <c r="E337" s="1252"/>
      <c r="F337" s="1247" t="s">
        <v>2684</v>
      </c>
      <c r="G337" s="1669">
        <f t="shared" ref="G337:L337" si="169">IF($F257&gt;10000000,ROUND(37.76*($F257/1000)^-0.1442,2),0)</f>
        <v>0</v>
      </c>
      <c r="H337" s="1669">
        <f t="shared" si="169"/>
        <v>0</v>
      </c>
      <c r="I337" s="1669">
        <f t="shared" si="169"/>
        <v>0</v>
      </c>
      <c r="J337" s="1669">
        <f t="shared" si="169"/>
        <v>0</v>
      </c>
      <c r="K337" s="1669">
        <f t="shared" si="169"/>
        <v>0</v>
      </c>
      <c r="L337" s="1701">
        <f t="shared" si="169"/>
        <v>0</v>
      </c>
    </row>
    <row r="338" spans="1:12" s="1278" customFormat="1" ht="13.5" customHeight="1" thickBot="1">
      <c r="A338" s="2929" t="s">
        <v>2697</v>
      </c>
      <c r="B338" s="2930"/>
      <c r="C338" s="2930"/>
      <c r="D338" s="2933"/>
      <c r="E338" s="1670"/>
      <c r="F338" s="1671"/>
      <c r="G338" s="1672">
        <f t="shared" ref="G338:L338" si="170">IF($F257&lt;=10000000,IF(G333&gt;G334,G334,IF(G333&lt;G335,G335,G333)),IF(G333&gt;G336,G336,IF(G333&lt;G337,G337,G333)))</f>
        <v>13.79</v>
      </c>
      <c r="H338" s="1672">
        <f t="shared" si="170"/>
        <v>10.01</v>
      </c>
      <c r="I338" s="1672">
        <f t="shared" si="170"/>
        <v>10.01</v>
      </c>
      <c r="J338" s="1672">
        <f t="shared" si="170"/>
        <v>10.01</v>
      </c>
      <c r="K338" s="1672">
        <f t="shared" si="170"/>
        <v>10.01</v>
      </c>
      <c r="L338" s="1702">
        <f t="shared" si="170"/>
        <v>10.01</v>
      </c>
    </row>
    <row r="339" spans="1:12" s="1278" customFormat="1" ht="13.5" customHeight="1" thickBot="1">
      <c r="A339" s="889"/>
      <c r="B339" s="889"/>
      <c r="C339" s="889"/>
      <c r="D339" s="889"/>
      <c r="E339" s="889"/>
      <c r="F339" s="889"/>
      <c r="G339" s="1255"/>
      <c r="H339" s="1255"/>
      <c r="I339" s="1255"/>
      <c r="J339" s="1255"/>
      <c r="K339" s="1255"/>
      <c r="L339" s="1255"/>
    </row>
    <row r="340" spans="1:12" s="1278" customFormat="1" ht="13.5" customHeight="1">
      <c r="A340" s="1238"/>
      <c r="B340" s="1239"/>
      <c r="C340" s="1240" t="s">
        <v>2692</v>
      </c>
      <c r="D340" s="1241"/>
      <c r="E340" s="1239"/>
      <c r="F340" s="1242" t="s">
        <v>2678</v>
      </c>
      <c r="G340" s="1666">
        <f t="shared" ref="G340:L340" si="171">+G210</f>
        <v>3.5</v>
      </c>
      <c r="H340" s="1666">
        <f t="shared" si="171"/>
        <v>0</v>
      </c>
      <c r="I340" s="1666">
        <f t="shared" si="171"/>
        <v>0</v>
      </c>
      <c r="J340" s="1666">
        <f t="shared" si="171"/>
        <v>0</v>
      </c>
      <c r="K340" s="1666">
        <f t="shared" si="171"/>
        <v>0</v>
      </c>
      <c r="L340" s="1698">
        <f t="shared" si="171"/>
        <v>0</v>
      </c>
    </row>
    <row r="341" spans="1:12" s="1278" customFormat="1" ht="13.5" customHeight="1">
      <c r="A341" s="2802"/>
      <c r="B341" s="2805" t="s">
        <v>2688</v>
      </c>
      <c r="C341" s="1245" t="s">
        <v>2693</v>
      </c>
      <c r="D341" s="1054"/>
      <c r="E341" s="1246"/>
      <c r="F341" s="1247" t="s">
        <v>2805</v>
      </c>
      <c r="G341" s="1667">
        <f t="shared" ref="G341:L341" si="172">IF($F257&lt;=5000000,ROUND(356.2*((5000)^-0.4085)*(G340^0.5766),2),ROUND(356.2*(($F257/1000)^-0.4085)*(G340^0.5766),2))</f>
        <v>22.61</v>
      </c>
      <c r="H341" s="1667">
        <f t="shared" si="172"/>
        <v>0</v>
      </c>
      <c r="I341" s="1667">
        <f t="shared" si="172"/>
        <v>0</v>
      </c>
      <c r="J341" s="1667">
        <f t="shared" si="172"/>
        <v>0</v>
      </c>
      <c r="K341" s="1667">
        <f t="shared" si="172"/>
        <v>0</v>
      </c>
      <c r="L341" s="1699">
        <f t="shared" si="172"/>
        <v>0</v>
      </c>
    </row>
    <row r="342" spans="1:12" s="1278" customFormat="1" ht="13.5" customHeight="1">
      <c r="A342" s="2803"/>
      <c r="B342" s="2806"/>
      <c r="C342" s="2808" t="s">
        <v>2698</v>
      </c>
      <c r="D342" s="1124"/>
      <c r="E342" s="1249"/>
      <c r="F342" s="1247" t="s">
        <v>2683</v>
      </c>
      <c r="G342" s="1668">
        <f t="shared" ref="G342:L342" si="173">IF($F257&lt;=5000000,ROUND(26.86,2),0)</f>
        <v>26.86</v>
      </c>
      <c r="H342" s="1668">
        <f t="shared" si="173"/>
        <v>26.86</v>
      </c>
      <c r="I342" s="1668">
        <f t="shared" si="173"/>
        <v>26.86</v>
      </c>
      <c r="J342" s="1668">
        <f t="shared" si="173"/>
        <v>26.86</v>
      </c>
      <c r="K342" s="1668">
        <f t="shared" si="173"/>
        <v>26.86</v>
      </c>
      <c r="L342" s="1700">
        <f t="shared" si="173"/>
        <v>26.86</v>
      </c>
    </row>
    <row r="343" spans="1:12" s="1278" customFormat="1" ht="13.5" customHeight="1">
      <c r="A343" s="2803"/>
      <c r="B343" s="2806"/>
      <c r="C343" s="2932"/>
      <c r="D343" s="1251"/>
      <c r="E343" s="1252"/>
      <c r="F343" s="1247" t="s">
        <v>2684</v>
      </c>
      <c r="G343" s="1668">
        <f t="shared" ref="G343:L343" si="174">IF($F257&lt;=5000000,ROUND(12.7,2),0)</f>
        <v>12.7</v>
      </c>
      <c r="H343" s="1668">
        <f t="shared" si="174"/>
        <v>12.7</v>
      </c>
      <c r="I343" s="1668">
        <f t="shared" si="174"/>
        <v>12.7</v>
      </c>
      <c r="J343" s="1668">
        <f t="shared" si="174"/>
        <v>12.7</v>
      </c>
      <c r="K343" s="1668">
        <f t="shared" si="174"/>
        <v>12.7</v>
      </c>
      <c r="L343" s="1700">
        <f t="shared" si="174"/>
        <v>12.7</v>
      </c>
    </row>
    <row r="344" spans="1:12" s="1278" customFormat="1" ht="13.5" customHeight="1">
      <c r="A344" s="2803"/>
      <c r="B344" s="2806"/>
      <c r="C344" s="2808" t="s">
        <v>2699</v>
      </c>
      <c r="D344" s="1124"/>
      <c r="E344" s="1249"/>
      <c r="F344" s="1247" t="s">
        <v>2683</v>
      </c>
      <c r="G344" s="1669">
        <f t="shared" ref="G344:L344" si="175">IF($F257&gt;5000000,ROUND(184.58*($F257/1000)^-0.2263,2),0)</f>
        <v>0</v>
      </c>
      <c r="H344" s="1669">
        <f t="shared" si="175"/>
        <v>0</v>
      </c>
      <c r="I344" s="1669">
        <f t="shared" si="175"/>
        <v>0</v>
      </c>
      <c r="J344" s="1669">
        <f t="shared" si="175"/>
        <v>0</v>
      </c>
      <c r="K344" s="1669">
        <f t="shared" si="175"/>
        <v>0</v>
      </c>
      <c r="L344" s="1701">
        <f t="shared" si="175"/>
        <v>0</v>
      </c>
    </row>
    <row r="345" spans="1:12" s="1278" customFormat="1" ht="13.5" customHeight="1">
      <c r="A345" s="2804"/>
      <c r="B345" s="2807"/>
      <c r="C345" s="2932"/>
      <c r="D345" s="1251"/>
      <c r="E345" s="1252"/>
      <c r="F345" s="1247" t="s">
        <v>2684</v>
      </c>
      <c r="G345" s="1669">
        <f t="shared" ref="G345:L345" si="176">IF($F257&gt;5000000,ROUND(87.29*($F257/1000)^-0.2263,2),0)</f>
        <v>0</v>
      </c>
      <c r="H345" s="1669">
        <f t="shared" si="176"/>
        <v>0</v>
      </c>
      <c r="I345" s="1669">
        <f t="shared" si="176"/>
        <v>0</v>
      </c>
      <c r="J345" s="1669">
        <f t="shared" si="176"/>
        <v>0</v>
      </c>
      <c r="K345" s="1669">
        <f t="shared" si="176"/>
        <v>0</v>
      </c>
      <c r="L345" s="1701">
        <f t="shared" si="176"/>
        <v>0</v>
      </c>
    </row>
    <row r="346" spans="1:12" s="1278" customFormat="1" ht="13.5" customHeight="1" thickBot="1">
      <c r="A346" s="2929" t="s">
        <v>2697</v>
      </c>
      <c r="B346" s="2930"/>
      <c r="C346" s="2930"/>
      <c r="D346" s="2930"/>
      <c r="E346" s="1673"/>
      <c r="F346" s="1671"/>
      <c r="G346" s="1674">
        <f t="shared" ref="G346:L346" si="177">IF($F257&lt;=5000000,IF(G341&gt;G342,G342,IF(G341&lt;G343,G343,G341)),IF(G341&gt;G344,G344,IF(G341&lt;G345,G345,G341)))</f>
        <v>22.61</v>
      </c>
      <c r="H346" s="1674">
        <f t="shared" si="177"/>
        <v>12.7</v>
      </c>
      <c r="I346" s="1674">
        <f t="shared" si="177"/>
        <v>12.7</v>
      </c>
      <c r="J346" s="1674">
        <f t="shared" si="177"/>
        <v>12.7</v>
      </c>
      <c r="K346" s="1674">
        <f t="shared" si="177"/>
        <v>12.7</v>
      </c>
      <c r="L346" s="1703">
        <f t="shared" si="177"/>
        <v>12.7</v>
      </c>
    </row>
    <row r="347" spans="1:12" s="1278" customFormat="1" ht="13.5" customHeight="1" thickBot="1">
      <c r="A347" s="889"/>
      <c r="B347" s="889"/>
      <c r="C347" s="889"/>
      <c r="D347" s="889"/>
      <c r="E347" s="889"/>
      <c r="F347" s="889"/>
      <c r="G347" s="1237"/>
      <c r="H347" s="1237"/>
      <c r="I347" s="1237"/>
      <c r="J347" s="1237"/>
      <c r="K347" s="1237"/>
      <c r="L347" s="1237"/>
    </row>
    <row r="348" spans="1:12" s="1278" customFormat="1" ht="13.5" customHeight="1">
      <c r="A348" s="1238"/>
      <c r="B348" s="1239"/>
      <c r="C348" s="1240" t="s">
        <v>2700</v>
      </c>
      <c r="D348" s="1241"/>
      <c r="E348" s="1239"/>
      <c r="F348" s="1242"/>
      <c r="G348" s="1262"/>
      <c r="H348" s="1263"/>
      <c r="I348" s="1264"/>
      <c r="J348" s="1264"/>
      <c r="K348" s="1264"/>
      <c r="L348" s="1264"/>
    </row>
    <row r="349" spans="1:12" s="1278" customFormat="1" ht="13.5" customHeight="1">
      <c r="A349" s="2802"/>
      <c r="B349" s="2805" t="s">
        <v>79</v>
      </c>
      <c r="C349" s="1245" t="s">
        <v>2701</v>
      </c>
      <c r="D349" s="1054"/>
      <c r="E349" s="1246"/>
      <c r="F349" s="1247" t="s">
        <v>2806</v>
      </c>
      <c r="G349" s="1675">
        <f>ROUND(28.978-3.173*LOG($F299/1000),2)</f>
        <v>18.559999999999999</v>
      </c>
      <c r="H349" s="1266"/>
      <c r="I349" s="1267"/>
      <c r="J349" s="1267"/>
      <c r="K349" s="1267"/>
      <c r="L349" s="1267"/>
    </row>
    <row r="350" spans="1:12" s="1278" customFormat="1" ht="13.5" customHeight="1">
      <c r="A350" s="2803"/>
      <c r="B350" s="2806"/>
      <c r="C350" s="1268" t="s">
        <v>2703</v>
      </c>
      <c r="D350" s="1124"/>
      <c r="E350" s="1124"/>
      <c r="F350" s="1269"/>
      <c r="G350" s="1676">
        <f>IF($F299&lt;=5000000,17.24,0)</f>
        <v>17.239999999999998</v>
      </c>
      <c r="H350" s="1271"/>
      <c r="I350" s="1272"/>
      <c r="J350" s="147"/>
      <c r="K350" s="1272"/>
      <c r="L350" s="1272"/>
    </row>
    <row r="351" spans="1:12" s="1278" customFormat="1" ht="13.5" customHeight="1">
      <c r="A351" s="2803"/>
      <c r="B351" s="2806"/>
      <c r="C351" s="1268" t="s">
        <v>2704</v>
      </c>
      <c r="D351" s="1124"/>
      <c r="E351" s="1054"/>
      <c r="F351" s="1269"/>
      <c r="G351" s="1676">
        <f>IF($F299&gt;3000000000,8.43,0)</f>
        <v>0</v>
      </c>
      <c r="H351" s="1273"/>
      <c r="I351" s="1274"/>
      <c r="J351" s="1274"/>
      <c r="K351" s="1274"/>
      <c r="L351" s="1274"/>
    </row>
    <row r="352" spans="1:12" s="1278" customFormat="1" ht="13.5" customHeight="1" thickBot="1">
      <c r="A352" s="2934" t="s">
        <v>2705</v>
      </c>
      <c r="B352" s="2935"/>
      <c r="C352" s="2935"/>
      <c r="D352" s="2935"/>
      <c r="E352" s="1677"/>
      <c r="F352" s="1678"/>
      <c r="G352" s="1679">
        <f>IF($F299&lt;=5000000,G350,IF($F299&gt;3000000000,G351,G349))</f>
        <v>17.239999999999998</v>
      </c>
      <c r="H352" s="1680"/>
      <c r="I352" s="1681"/>
      <c r="J352" s="1681"/>
      <c r="K352" s="1681"/>
      <c r="L352" s="1681"/>
    </row>
  </sheetData>
  <mergeCells count="95">
    <mergeCell ref="A349:A351"/>
    <mergeCell ref="B349:B351"/>
    <mergeCell ref="A352:D352"/>
    <mergeCell ref="A338:D338"/>
    <mergeCell ref="A341:A345"/>
    <mergeCell ref="B341:B345"/>
    <mergeCell ref="C342:C343"/>
    <mergeCell ref="C344:C345"/>
    <mergeCell ref="A346:D346"/>
    <mergeCell ref="B316:B317"/>
    <mergeCell ref="B318:B320"/>
    <mergeCell ref="A333:A337"/>
    <mergeCell ref="B333:B337"/>
    <mergeCell ref="C334:C335"/>
    <mergeCell ref="C336:C337"/>
    <mergeCell ref="B314:B315"/>
    <mergeCell ref="B273:B276"/>
    <mergeCell ref="B277:B284"/>
    <mergeCell ref="B285:B287"/>
    <mergeCell ref="A296:C297"/>
    <mergeCell ref="A303:A310"/>
    <mergeCell ref="B304:B305"/>
    <mergeCell ref="B306:B307"/>
    <mergeCell ref="B308:B310"/>
    <mergeCell ref="A312:C312"/>
    <mergeCell ref="F301:G301"/>
    <mergeCell ref="A302:C302"/>
    <mergeCell ref="F302:G302"/>
    <mergeCell ref="D255:D256"/>
    <mergeCell ref="E255:E256"/>
    <mergeCell ref="A256:C256"/>
    <mergeCell ref="B258:B259"/>
    <mergeCell ref="B260:B267"/>
    <mergeCell ref="B268:B270"/>
    <mergeCell ref="A204:A206"/>
    <mergeCell ref="B204:B206"/>
    <mergeCell ref="A207:D207"/>
    <mergeCell ref="A233:A252"/>
    <mergeCell ref="B233:B234"/>
    <mergeCell ref="B235:B242"/>
    <mergeCell ref="B243:B245"/>
    <mergeCell ref="B246:B252"/>
    <mergeCell ref="A201:D201"/>
    <mergeCell ref="B171:B172"/>
    <mergeCell ref="B173:B175"/>
    <mergeCell ref="A188:A192"/>
    <mergeCell ref="B188:B192"/>
    <mergeCell ref="C189:C190"/>
    <mergeCell ref="C191:C192"/>
    <mergeCell ref="A193:D193"/>
    <mergeCell ref="A196:A200"/>
    <mergeCell ref="B196:B200"/>
    <mergeCell ref="C197:C198"/>
    <mergeCell ref="C199:C200"/>
    <mergeCell ref="B169:B170"/>
    <mergeCell ref="B128:B131"/>
    <mergeCell ref="B132:B139"/>
    <mergeCell ref="B140:B142"/>
    <mergeCell ref="A151:C152"/>
    <mergeCell ref="A158:A165"/>
    <mergeCell ref="B159:B160"/>
    <mergeCell ref="B161:B162"/>
    <mergeCell ref="B163:B165"/>
    <mergeCell ref="A167:C167"/>
    <mergeCell ref="F156:G156"/>
    <mergeCell ref="A157:C157"/>
    <mergeCell ref="F157:G157"/>
    <mergeCell ref="D110:D111"/>
    <mergeCell ref="E110:E111"/>
    <mergeCell ref="A111:C111"/>
    <mergeCell ref="B113:B114"/>
    <mergeCell ref="B115:B122"/>
    <mergeCell ref="B123:B125"/>
    <mergeCell ref="B48:C48"/>
    <mergeCell ref="B50:C50"/>
    <mergeCell ref="B55:C55"/>
    <mergeCell ref="B58:B59"/>
    <mergeCell ref="B61:B62"/>
    <mergeCell ref="A88:A107"/>
    <mergeCell ref="B88:B89"/>
    <mergeCell ref="B90:B97"/>
    <mergeCell ref="B98:B100"/>
    <mergeCell ref="B101:B107"/>
    <mergeCell ref="B43:C43"/>
    <mergeCell ref="C2:E2"/>
    <mergeCell ref="B4:D4"/>
    <mergeCell ref="B5:D5"/>
    <mergeCell ref="B6:D6"/>
    <mergeCell ref="B16:B17"/>
    <mergeCell ref="B18:B24"/>
    <mergeCell ref="B25:B27"/>
    <mergeCell ref="B28:B34"/>
    <mergeCell ref="A37:C37"/>
    <mergeCell ref="A38:A42"/>
    <mergeCell ref="B41:B42"/>
  </mergeCells>
  <phoneticPr fontId="2"/>
  <conditionalFormatting sqref="F67">
    <cfRule type="expression" dxfId="3" priority="2" stopIfTrue="1">
      <formula>AND($F$27&gt;5000000,OR($E$5="無し",$E$5="なし"))</formula>
    </cfRule>
  </conditionalFormatting>
  <conditionalFormatting sqref="F212">
    <cfRule type="expression" dxfId="2" priority="1" stopIfTrue="1">
      <formula>AND($F$27&gt;5000000,OR($E$5="無し",$E$5="なし"))</formula>
    </cfRule>
  </conditionalFormatting>
  <dataValidations count="1">
    <dataValidation type="list" allowBlank="1" showInputMessage="1" showErrorMessage="1" sqref="E66:E67 JA66:JA67 SW66:SW67 ACS66:ACS67 AMO66:AMO67 AWK66:AWK67 BGG66:BGG67 BQC66:BQC67 BZY66:BZY67 CJU66:CJU67 CTQ66:CTQ67 DDM66:DDM67 DNI66:DNI67 DXE66:DXE67 EHA66:EHA67 EQW66:EQW67 FAS66:FAS67 FKO66:FKO67 FUK66:FUK67 GEG66:GEG67 GOC66:GOC67 GXY66:GXY67 HHU66:HHU67 HRQ66:HRQ67 IBM66:IBM67 ILI66:ILI67 IVE66:IVE67 JFA66:JFA67 JOW66:JOW67 JYS66:JYS67 KIO66:KIO67 KSK66:KSK67 LCG66:LCG67 LMC66:LMC67 LVY66:LVY67 MFU66:MFU67 MPQ66:MPQ67 MZM66:MZM67 NJI66:NJI67 NTE66:NTE67 ODA66:ODA67 OMW66:OMW67 OWS66:OWS67 PGO66:PGO67 PQK66:PQK67 QAG66:QAG67 QKC66:QKC67 QTY66:QTY67 RDU66:RDU67 RNQ66:RNQ67 RXM66:RXM67 SHI66:SHI67 SRE66:SRE67 TBA66:TBA67 TKW66:TKW67 TUS66:TUS67 UEO66:UEO67 UOK66:UOK67 UYG66:UYG67 VIC66:VIC67 VRY66:VRY67 WBU66:WBU67 WLQ66:WLQ67 WVM66:WVM67 E65602:E65603 JA65602:JA65603 SW65602:SW65603 ACS65602:ACS65603 AMO65602:AMO65603 AWK65602:AWK65603 BGG65602:BGG65603 BQC65602:BQC65603 BZY65602:BZY65603 CJU65602:CJU65603 CTQ65602:CTQ65603 DDM65602:DDM65603 DNI65602:DNI65603 DXE65602:DXE65603 EHA65602:EHA65603 EQW65602:EQW65603 FAS65602:FAS65603 FKO65602:FKO65603 FUK65602:FUK65603 GEG65602:GEG65603 GOC65602:GOC65603 GXY65602:GXY65603 HHU65602:HHU65603 HRQ65602:HRQ65603 IBM65602:IBM65603 ILI65602:ILI65603 IVE65602:IVE65603 JFA65602:JFA65603 JOW65602:JOW65603 JYS65602:JYS65603 KIO65602:KIO65603 KSK65602:KSK65603 LCG65602:LCG65603 LMC65602:LMC65603 LVY65602:LVY65603 MFU65602:MFU65603 MPQ65602:MPQ65603 MZM65602:MZM65603 NJI65602:NJI65603 NTE65602:NTE65603 ODA65602:ODA65603 OMW65602:OMW65603 OWS65602:OWS65603 PGO65602:PGO65603 PQK65602:PQK65603 QAG65602:QAG65603 QKC65602:QKC65603 QTY65602:QTY65603 RDU65602:RDU65603 RNQ65602:RNQ65603 RXM65602:RXM65603 SHI65602:SHI65603 SRE65602:SRE65603 TBA65602:TBA65603 TKW65602:TKW65603 TUS65602:TUS65603 UEO65602:UEO65603 UOK65602:UOK65603 UYG65602:UYG65603 VIC65602:VIC65603 VRY65602:VRY65603 WBU65602:WBU65603 WLQ65602:WLQ65603 WVM65602:WVM65603 E131138:E131139 JA131138:JA131139 SW131138:SW131139 ACS131138:ACS131139 AMO131138:AMO131139 AWK131138:AWK131139 BGG131138:BGG131139 BQC131138:BQC131139 BZY131138:BZY131139 CJU131138:CJU131139 CTQ131138:CTQ131139 DDM131138:DDM131139 DNI131138:DNI131139 DXE131138:DXE131139 EHA131138:EHA131139 EQW131138:EQW131139 FAS131138:FAS131139 FKO131138:FKO131139 FUK131138:FUK131139 GEG131138:GEG131139 GOC131138:GOC131139 GXY131138:GXY131139 HHU131138:HHU131139 HRQ131138:HRQ131139 IBM131138:IBM131139 ILI131138:ILI131139 IVE131138:IVE131139 JFA131138:JFA131139 JOW131138:JOW131139 JYS131138:JYS131139 KIO131138:KIO131139 KSK131138:KSK131139 LCG131138:LCG131139 LMC131138:LMC131139 LVY131138:LVY131139 MFU131138:MFU131139 MPQ131138:MPQ131139 MZM131138:MZM131139 NJI131138:NJI131139 NTE131138:NTE131139 ODA131138:ODA131139 OMW131138:OMW131139 OWS131138:OWS131139 PGO131138:PGO131139 PQK131138:PQK131139 QAG131138:QAG131139 QKC131138:QKC131139 QTY131138:QTY131139 RDU131138:RDU131139 RNQ131138:RNQ131139 RXM131138:RXM131139 SHI131138:SHI131139 SRE131138:SRE131139 TBA131138:TBA131139 TKW131138:TKW131139 TUS131138:TUS131139 UEO131138:UEO131139 UOK131138:UOK131139 UYG131138:UYG131139 VIC131138:VIC131139 VRY131138:VRY131139 WBU131138:WBU131139 WLQ131138:WLQ131139 WVM131138:WVM131139 E196674:E196675 JA196674:JA196675 SW196674:SW196675 ACS196674:ACS196675 AMO196674:AMO196675 AWK196674:AWK196675 BGG196674:BGG196675 BQC196674:BQC196675 BZY196674:BZY196675 CJU196674:CJU196675 CTQ196674:CTQ196675 DDM196674:DDM196675 DNI196674:DNI196675 DXE196674:DXE196675 EHA196674:EHA196675 EQW196674:EQW196675 FAS196674:FAS196675 FKO196674:FKO196675 FUK196674:FUK196675 GEG196674:GEG196675 GOC196674:GOC196675 GXY196674:GXY196675 HHU196674:HHU196675 HRQ196674:HRQ196675 IBM196674:IBM196675 ILI196674:ILI196675 IVE196674:IVE196675 JFA196674:JFA196675 JOW196674:JOW196675 JYS196674:JYS196675 KIO196674:KIO196675 KSK196674:KSK196675 LCG196674:LCG196675 LMC196674:LMC196675 LVY196674:LVY196675 MFU196674:MFU196675 MPQ196674:MPQ196675 MZM196674:MZM196675 NJI196674:NJI196675 NTE196674:NTE196675 ODA196674:ODA196675 OMW196674:OMW196675 OWS196674:OWS196675 PGO196674:PGO196675 PQK196674:PQK196675 QAG196674:QAG196675 QKC196674:QKC196675 QTY196674:QTY196675 RDU196674:RDU196675 RNQ196674:RNQ196675 RXM196674:RXM196675 SHI196674:SHI196675 SRE196674:SRE196675 TBA196674:TBA196675 TKW196674:TKW196675 TUS196674:TUS196675 UEO196674:UEO196675 UOK196674:UOK196675 UYG196674:UYG196675 VIC196674:VIC196675 VRY196674:VRY196675 WBU196674:WBU196675 WLQ196674:WLQ196675 WVM196674:WVM196675 E262210:E262211 JA262210:JA262211 SW262210:SW262211 ACS262210:ACS262211 AMO262210:AMO262211 AWK262210:AWK262211 BGG262210:BGG262211 BQC262210:BQC262211 BZY262210:BZY262211 CJU262210:CJU262211 CTQ262210:CTQ262211 DDM262210:DDM262211 DNI262210:DNI262211 DXE262210:DXE262211 EHA262210:EHA262211 EQW262210:EQW262211 FAS262210:FAS262211 FKO262210:FKO262211 FUK262210:FUK262211 GEG262210:GEG262211 GOC262210:GOC262211 GXY262210:GXY262211 HHU262210:HHU262211 HRQ262210:HRQ262211 IBM262210:IBM262211 ILI262210:ILI262211 IVE262210:IVE262211 JFA262210:JFA262211 JOW262210:JOW262211 JYS262210:JYS262211 KIO262210:KIO262211 KSK262210:KSK262211 LCG262210:LCG262211 LMC262210:LMC262211 LVY262210:LVY262211 MFU262210:MFU262211 MPQ262210:MPQ262211 MZM262210:MZM262211 NJI262210:NJI262211 NTE262210:NTE262211 ODA262210:ODA262211 OMW262210:OMW262211 OWS262210:OWS262211 PGO262210:PGO262211 PQK262210:PQK262211 QAG262210:QAG262211 QKC262210:QKC262211 QTY262210:QTY262211 RDU262210:RDU262211 RNQ262210:RNQ262211 RXM262210:RXM262211 SHI262210:SHI262211 SRE262210:SRE262211 TBA262210:TBA262211 TKW262210:TKW262211 TUS262210:TUS262211 UEO262210:UEO262211 UOK262210:UOK262211 UYG262210:UYG262211 VIC262210:VIC262211 VRY262210:VRY262211 WBU262210:WBU262211 WLQ262210:WLQ262211 WVM262210:WVM262211 E327746:E327747 JA327746:JA327747 SW327746:SW327747 ACS327746:ACS327747 AMO327746:AMO327747 AWK327746:AWK327747 BGG327746:BGG327747 BQC327746:BQC327747 BZY327746:BZY327747 CJU327746:CJU327747 CTQ327746:CTQ327747 DDM327746:DDM327747 DNI327746:DNI327747 DXE327746:DXE327747 EHA327746:EHA327747 EQW327746:EQW327747 FAS327746:FAS327747 FKO327746:FKO327747 FUK327746:FUK327747 GEG327746:GEG327747 GOC327746:GOC327747 GXY327746:GXY327747 HHU327746:HHU327747 HRQ327746:HRQ327747 IBM327746:IBM327747 ILI327746:ILI327747 IVE327746:IVE327747 JFA327746:JFA327747 JOW327746:JOW327747 JYS327746:JYS327747 KIO327746:KIO327747 KSK327746:KSK327747 LCG327746:LCG327747 LMC327746:LMC327747 LVY327746:LVY327747 MFU327746:MFU327747 MPQ327746:MPQ327747 MZM327746:MZM327747 NJI327746:NJI327747 NTE327746:NTE327747 ODA327746:ODA327747 OMW327746:OMW327747 OWS327746:OWS327747 PGO327746:PGO327747 PQK327746:PQK327747 QAG327746:QAG327747 QKC327746:QKC327747 QTY327746:QTY327747 RDU327746:RDU327747 RNQ327746:RNQ327747 RXM327746:RXM327747 SHI327746:SHI327747 SRE327746:SRE327747 TBA327746:TBA327747 TKW327746:TKW327747 TUS327746:TUS327747 UEO327746:UEO327747 UOK327746:UOK327747 UYG327746:UYG327747 VIC327746:VIC327747 VRY327746:VRY327747 WBU327746:WBU327747 WLQ327746:WLQ327747 WVM327746:WVM327747 E393282:E393283 JA393282:JA393283 SW393282:SW393283 ACS393282:ACS393283 AMO393282:AMO393283 AWK393282:AWK393283 BGG393282:BGG393283 BQC393282:BQC393283 BZY393282:BZY393283 CJU393282:CJU393283 CTQ393282:CTQ393283 DDM393282:DDM393283 DNI393282:DNI393283 DXE393282:DXE393283 EHA393282:EHA393283 EQW393282:EQW393283 FAS393282:FAS393283 FKO393282:FKO393283 FUK393282:FUK393283 GEG393282:GEG393283 GOC393282:GOC393283 GXY393282:GXY393283 HHU393282:HHU393283 HRQ393282:HRQ393283 IBM393282:IBM393283 ILI393282:ILI393283 IVE393282:IVE393283 JFA393282:JFA393283 JOW393282:JOW393283 JYS393282:JYS393283 KIO393282:KIO393283 KSK393282:KSK393283 LCG393282:LCG393283 LMC393282:LMC393283 LVY393282:LVY393283 MFU393282:MFU393283 MPQ393282:MPQ393283 MZM393282:MZM393283 NJI393282:NJI393283 NTE393282:NTE393283 ODA393282:ODA393283 OMW393282:OMW393283 OWS393282:OWS393283 PGO393282:PGO393283 PQK393282:PQK393283 QAG393282:QAG393283 QKC393282:QKC393283 QTY393282:QTY393283 RDU393282:RDU393283 RNQ393282:RNQ393283 RXM393282:RXM393283 SHI393282:SHI393283 SRE393282:SRE393283 TBA393282:TBA393283 TKW393282:TKW393283 TUS393282:TUS393283 UEO393282:UEO393283 UOK393282:UOK393283 UYG393282:UYG393283 VIC393282:VIC393283 VRY393282:VRY393283 WBU393282:WBU393283 WLQ393282:WLQ393283 WVM393282:WVM393283 E458818:E458819 JA458818:JA458819 SW458818:SW458819 ACS458818:ACS458819 AMO458818:AMO458819 AWK458818:AWK458819 BGG458818:BGG458819 BQC458818:BQC458819 BZY458818:BZY458819 CJU458818:CJU458819 CTQ458818:CTQ458819 DDM458818:DDM458819 DNI458818:DNI458819 DXE458818:DXE458819 EHA458818:EHA458819 EQW458818:EQW458819 FAS458818:FAS458819 FKO458818:FKO458819 FUK458818:FUK458819 GEG458818:GEG458819 GOC458818:GOC458819 GXY458818:GXY458819 HHU458818:HHU458819 HRQ458818:HRQ458819 IBM458818:IBM458819 ILI458818:ILI458819 IVE458818:IVE458819 JFA458818:JFA458819 JOW458818:JOW458819 JYS458818:JYS458819 KIO458818:KIO458819 KSK458818:KSK458819 LCG458818:LCG458819 LMC458818:LMC458819 LVY458818:LVY458819 MFU458818:MFU458819 MPQ458818:MPQ458819 MZM458818:MZM458819 NJI458818:NJI458819 NTE458818:NTE458819 ODA458818:ODA458819 OMW458818:OMW458819 OWS458818:OWS458819 PGO458818:PGO458819 PQK458818:PQK458819 QAG458818:QAG458819 QKC458818:QKC458819 QTY458818:QTY458819 RDU458818:RDU458819 RNQ458818:RNQ458819 RXM458818:RXM458819 SHI458818:SHI458819 SRE458818:SRE458819 TBA458818:TBA458819 TKW458818:TKW458819 TUS458818:TUS458819 UEO458818:UEO458819 UOK458818:UOK458819 UYG458818:UYG458819 VIC458818:VIC458819 VRY458818:VRY458819 WBU458818:WBU458819 WLQ458818:WLQ458819 WVM458818:WVM458819 E524354:E524355 JA524354:JA524355 SW524354:SW524355 ACS524354:ACS524355 AMO524354:AMO524355 AWK524354:AWK524355 BGG524354:BGG524355 BQC524354:BQC524355 BZY524354:BZY524355 CJU524354:CJU524355 CTQ524354:CTQ524355 DDM524354:DDM524355 DNI524354:DNI524355 DXE524354:DXE524355 EHA524354:EHA524355 EQW524354:EQW524355 FAS524354:FAS524355 FKO524354:FKO524355 FUK524354:FUK524355 GEG524354:GEG524355 GOC524354:GOC524355 GXY524354:GXY524355 HHU524354:HHU524355 HRQ524354:HRQ524355 IBM524354:IBM524355 ILI524354:ILI524355 IVE524354:IVE524355 JFA524354:JFA524355 JOW524354:JOW524355 JYS524354:JYS524355 KIO524354:KIO524355 KSK524354:KSK524355 LCG524354:LCG524355 LMC524354:LMC524355 LVY524354:LVY524355 MFU524354:MFU524355 MPQ524354:MPQ524355 MZM524354:MZM524355 NJI524354:NJI524355 NTE524354:NTE524355 ODA524354:ODA524355 OMW524354:OMW524355 OWS524354:OWS524355 PGO524354:PGO524355 PQK524354:PQK524355 QAG524354:QAG524355 QKC524354:QKC524355 QTY524354:QTY524355 RDU524354:RDU524355 RNQ524354:RNQ524355 RXM524354:RXM524355 SHI524354:SHI524355 SRE524354:SRE524355 TBA524354:TBA524355 TKW524354:TKW524355 TUS524354:TUS524355 UEO524354:UEO524355 UOK524354:UOK524355 UYG524354:UYG524355 VIC524354:VIC524355 VRY524354:VRY524355 WBU524354:WBU524355 WLQ524354:WLQ524355 WVM524354:WVM524355 E589890:E589891 JA589890:JA589891 SW589890:SW589891 ACS589890:ACS589891 AMO589890:AMO589891 AWK589890:AWK589891 BGG589890:BGG589891 BQC589890:BQC589891 BZY589890:BZY589891 CJU589890:CJU589891 CTQ589890:CTQ589891 DDM589890:DDM589891 DNI589890:DNI589891 DXE589890:DXE589891 EHA589890:EHA589891 EQW589890:EQW589891 FAS589890:FAS589891 FKO589890:FKO589891 FUK589890:FUK589891 GEG589890:GEG589891 GOC589890:GOC589891 GXY589890:GXY589891 HHU589890:HHU589891 HRQ589890:HRQ589891 IBM589890:IBM589891 ILI589890:ILI589891 IVE589890:IVE589891 JFA589890:JFA589891 JOW589890:JOW589891 JYS589890:JYS589891 KIO589890:KIO589891 KSK589890:KSK589891 LCG589890:LCG589891 LMC589890:LMC589891 LVY589890:LVY589891 MFU589890:MFU589891 MPQ589890:MPQ589891 MZM589890:MZM589891 NJI589890:NJI589891 NTE589890:NTE589891 ODA589890:ODA589891 OMW589890:OMW589891 OWS589890:OWS589891 PGO589890:PGO589891 PQK589890:PQK589891 QAG589890:QAG589891 QKC589890:QKC589891 QTY589890:QTY589891 RDU589890:RDU589891 RNQ589890:RNQ589891 RXM589890:RXM589891 SHI589890:SHI589891 SRE589890:SRE589891 TBA589890:TBA589891 TKW589890:TKW589891 TUS589890:TUS589891 UEO589890:UEO589891 UOK589890:UOK589891 UYG589890:UYG589891 VIC589890:VIC589891 VRY589890:VRY589891 WBU589890:WBU589891 WLQ589890:WLQ589891 WVM589890:WVM589891 E655426:E655427 JA655426:JA655427 SW655426:SW655427 ACS655426:ACS655427 AMO655426:AMO655427 AWK655426:AWK655427 BGG655426:BGG655427 BQC655426:BQC655427 BZY655426:BZY655427 CJU655426:CJU655427 CTQ655426:CTQ655427 DDM655426:DDM655427 DNI655426:DNI655427 DXE655426:DXE655427 EHA655426:EHA655427 EQW655426:EQW655427 FAS655426:FAS655427 FKO655426:FKO655427 FUK655426:FUK655427 GEG655426:GEG655427 GOC655426:GOC655427 GXY655426:GXY655427 HHU655426:HHU655427 HRQ655426:HRQ655427 IBM655426:IBM655427 ILI655426:ILI655427 IVE655426:IVE655427 JFA655426:JFA655427 JOW655426:JOW655427 JYS655426:JYS655427 KIO655426:KIO655427 KSK655426:KSK655427 LCG655426:LCG655427 LMC655426:LMC655427 LVY655426:LVY655427 MFU655426:MFU655427 MPQ655426:MPQ655427 MZM655426:MZM655427 NJI655426:NJI655427 NTE655426:NTE655427 ODA655426:ODA655427 OMW655426:OMW655427 OWS655426:OWS655427 PGO655426:PGO655427 PQK655426:PQK655427 QAG655426:QAG655427 QKC655426:QKC655427 QTY655426:QTY655427 RDU655426:RDU655427 RNQ655426:RNQ655427 RXM655426:RXM655427 SHI655426:SHI655427 SRE655426:SRE655427 TBA655426:TBA655427 TKW655426:TKW655427 TUS655426:TUS655427 UEO655426:UEO655427 UOK655426:UOK655427 UYG655426:UYG655427 VIC655426:VIC655427 VRY655426:VRY655427 WBU655426:WBU655427 WLQ655426:WLQ655427 WVM655426:WVM655427 E720962:E720963 JA720962:JA720963 SW720962:SW720963 ACS720962:ACS720963 AMO720962:AMO720963 AWK720962:AWK720963 BGG720962:BGG720963 BQC720962:BQC720963 BZY720962:BZY720963 CJU720962:CJU720963 CTQ720962:CTQ720963 DDM720962:DDM720963 DNI720962:DNI720963 DXE720962:DXE720963 EHA720962:EHA720963 EQW720962:EQW720963 FAS720962:FAS720963 FKO720962:FKO720963 FUK720962:FUK720963 GEG720962:GEG720963 GOC720962:GOC720963 GXY720962:GXY720963 HHU720962:HHU720963 HRQ720962:HRQ720963 IBM720962:IBM720963 ILI720962:ILI720963 IVE720962:IVE720963 JFA720962:JFA720963 JOW720962:JOW720963 JYS720962:JYS720963 KIO720962:KIO720963 KSK720962:KSK720963 LCG720962:LCG720963 LMC720962:LMC720963 LVY720962:LVY720963 MFU720962:MFU720963 MPQ720962:MPQ720963 MZM720962:MZM720963 NJI720962:NJI720963 NTE720962:NTE720963 ODA720962:ODA720963 OMW720962:OMW720963 OWS720962:OWS720963 PGO720962:PGO720963 PQK720962:PQK720963 QAG720962:QAG720963 QKC720962:QKC720963 QTY720962:QTY720963 RDU720962:RDU720963 RNQ720962:RNQ720963 RXM720962:RXM720963 SHI720962:SHI720963 SRE720962:SRE720963 TBA720962:TBA720963 TKW720962:TKW720963 TUS720962:TUS720963 UEO720962:UEO720963 UOK720962:UOK720963 UYG720962:UYG720963 VIC720962:VIC720963 VRY720962:VRY720963 WBU720962:WBU720963 WLQ720962:WLQ720963 WVM720962:WVM720963 E786498:E786499 JA786498:JA786499 SW786498:SW786499 ACS786498:ACS786499 AMO786498:AMO786499 AWK786498:AWK786499 BGG786498:BGG786499 BQC786498:BQC786499 BZY786498:BZY786499 CJU786498:CJU786499 CTQ786498:CTQ786499 DDM786498:DDM786499 DNI786498:DNI786499 DXE786498:DXE786499 EHA786498:EHA786499 EQW786498:EQW786499 FAS786498:FAS786499 FKO786498:FKO786499 FUK786498:FUK786499 GEG786498:GEG786499 GOC786498:GOC786499 GXY786498:GXY786499 HHU786498:HHU786499 HRQ786498:HRQ786499 IBM786498:IBM786499 ILI786498:ILI786499 IVE786498:IVE786499 JFA786498:JFA786499 JOW786498:JOW786499 JYS786498:JYS786499 KIO786498:KIO786499 KSK786498:KSK786499 LCG786498:LCG786499 LMC786498:LMC786499 LVY786498:LVY786499 MFU786498:MFU786499 MPQ786498:MPQ786499 MZM786498:MZM786499 NJI786498:NJI786499 NTE786498:NTE786499 ODA786498:ODA786499 OMW786498:OMW786499 OWS786498:OWS786499 PGO786498:PGO786499 PQK786498:PQK786499 QAG786498:QAG786499 QKC786498:QKC786499 QTY786498:QTY786499 RDU786498:RDU786499 RNQ786498:RNQ786499 RXM786498:RXM786499 SHI786498:SHI786499 SRE786498:SRE786499 TBA786498:TBA786499 TKW786498:TKW786499 TUS786498:TUS786499 UEO786498:UEO786499 UOK786498:UOK786499 UYG786498:UYG786499 VIC786498:VIC786499 VRY786498:VRY786499 WBU786498:WBU786499 WLQ786498:WLQ786499 WVM786498:WVM786499 E852034:E852035 JA852034:JA852035 SW852034:SW852035 ACS852034:ACS852035 AMO852034:AMO852035 AWK852034:AWK852035 BGG852034:BGG852035 BQC852034:BQC852035 BZY852034:BZY852035 CJU852034:CJU852035 CTQ852034:CTQ852035 DDM852034:DDM852035 DNI852034:DNI852035 DXE852034:DXE852035 EHA852034:EHA852035 EQW852034:EQW852035 FAS852034:FAS852035 FKO852034:FKO852035 FUK852034:FUK852035 GEG852034:GEG852035 GOC852034:GOC852035 GXY852034:GXY852035 HHU852034:HHU852035 HRQ852034:HRQ852035 IBM852034:IBM852035 ILI852034:ILI852035 IVE852034:IVE852035 JFA852034:JFA852035 JOW852034:JOW852035 JYS852034:JYS852035 KIO852034:KIO852035 KSK852034:KSK852035 LCG852034:LCG852035 LMC852034:LMC852035 LVY852034:LVY852035 MFU852034:MFU852035 MPQ852034:MPQ852035 MZM852034:MZM852035 NJI852034:NJI852035 NTE852034:NTE852035 ODA852034:ODA852035 OMW852034:OMW852035 OWS852034:OWS852035 PGO852034:PGO852035 PQK852034:PQK852035 QAG852034:QAG852035 QKC852034:QKC852035 QTY852034:QTY852035 RDU852034:RDU852035 RNQ852034:RNQ852035 RXM852034:RXM852035 SHI852034:SHI852035 SRE852034:SRE852035 TBA852034:TBA852035 TKW852034:TKW852035 TUS852034:TUS852035 UEO852034:UEO852035 UOK852034:UOK852035 UYG852034:UYG852035 VIC852034:VIC852035 VRY852034:VRY852035 WBU852034:WBU852035 WLQ852034:WLQ852035 WVM852034:WVM852035 E917570:E917571 JA917570:JA917571 SW917570:SW917571 ACS917570:ACS917571 AMO917570:AMO917571 AWK917570:AWK917571 BGG917570:BGG917571 BQC917570:BQC917571 BZY917570:BZY917571 CJU917570:CJU917571 CTQ917570:CTQ917571 DDM917570:DDM917571 DNI917570:DNI917571 DXE917570:DXE917571 EHA917570:EHA917571 EQW917570:EQW917571 FAS917570:FAS917571 FKO917570:FKO917571 FUK917570:FUK917571 GEG917570:GEG917571 GOC917570:GOC917571 GXY917570:GXY917571 HHU917570:HHU917571 HRQ917570:HRQ917571 IBM917570:IBM917571 ILI917570:ILI917571 IVE917570:IVE917571 JFA917570:JFA917571 JOW917570:JOW917571 JYS917570:JYS917571 KIO917570:KIO917571 KSK917570:KSK917571 LCG917570:LCG917571 LMC917570:LMC917571 LVY917570:LVY917571 MFU917570:MFU917571 MPQ917570:MPQ917571 MZM917570:MZM917571 NJI917570:NJI917571 NTE917570:NTE917571 ODA917570:ODA917571 OMW917570:OMW917571 OWS917570:OWS917571 PGO917570:PGO917571 PQK917570:PQK917571 QAG917570:QAG917571 QKC917570:QKC917571 QTY917570:QTY917571 RDU917570:RDU917571 RNQ917570:RNQ917571 RXM917570:RXM917571 SHI917570:SHI917571 SRE917570:SRE917571 TBA917570:TBA917571 TKW917570:TKW917571 TUS917570:TUS917571 UEO917570:UEO917571 UOK917570:UOK917571 UYG917570:UYG917571 VIC917570:VIC917571 VRY917570:VRY917571 WBU917570:WBU917571 WLQ917570:WLQ917571 WVM917570:WVM917571 E983106:E983107 JA983106:JA983107 SW983106:SW983107 ACS983106:ACS983107 AMO983106:AMO983107 AWK983106:AWK983107 BGG983106:BGG983107 BQC983106:BQC983107 BZY983106:BZY983107 CJU983106:CJU983107 CTQ983106:CTQ983107 DDM983106:DDM983107 DNI983106:DNI983107 DXE983106:DXE983107 EHA983106:EHA983107 EQW983106:EQW983107 FAS983106:FAS983107 FKO983106:FKO983107 FUK983106:FUK983107 GEG983106:GEG983107 GOC983106:GOC983107 GXY983106:GXY983107 HHU983106:HHU983107 HRQ983106:HRQ983107 IBM983106:IBM983107 ILI983106:ILI983107 IVE983106:IVE983107 JFA983106:JFA983107 JOW983106:JOW983107 JYS983106:JYS983107 KIO983106:KIO983107 KSK983106:KSK983107 LCG983106:LCG983107 LMC983106:LMC983107 LVY983106:LVY983107 MFU983106:MFU983107 MPQ983106:MPQ983107 MZM983106:MZM983107 NJI983106:NJI983107 NTE983106:NTE983107 ODA983106:ODA983107 OMW983106:OMW983107 OWS983106:OWS983107 PGO983106:PGO983107 PQK983106:PQK983107 QAG983106:QAG983107 QKC983106:QKC983107 QTY983106:QTY983107 RDU983106:RDU983107 RNQ983106:RNQ983107 RXM983106:RXM983107 SHI983106:SHI983107 SRE983106:SRE983107 TBA983106:TBA983107 TKW983106:TKW983107 TUS983106:TUS983107 UEO983106:UEO983107 UOK983106:UOK983107 UYG983106:UYG983107 VIC983106:VIC983107 VRY983106:VRY983107 WBU983106:WBU983107 WLQ983106:WLQ983107 WVM983106:WVM983107 E211:E212 JA211:JA212 SW211:SW212 ACS211:ACS212 AMO211:AMO212 AWK211:AWK212 BGG211:BGG212 BQC211:BQC212 BZY211:BZY212 CJU211:CJU212 CTQ211:CTQ212 DDM211:DDM212 DNI211:DNI212 DXE211:DXE212 EHA211:EHA212 EQW211:EQW212 FAS211:FAS212 FKO211:FKO212 FUK211:FUK212 GEG211:GEG212 GOC211:GOC212 GXY211:GXY212 HHU211:HHU212 HRQ211:HRQ212 IBM211:IBM212 ILI211:ILI212 IVE211:IVE212 JFA211:JFA212 JOW211:JOW212 JYS211:JYS212 KIO211:KIO212 KSK211:KSK212 LCG211:LCG212 LMC211:LMC212 LVY211:LVY212 MFU211:MFU212 MPQ211:MPQ212 MZM211:MZM212 NJI211:NJI212 NTE211:NTE212 ODA211:ODA212 OMW211:OMW212 OWS211:OWS212 PGO211:PGO212 PQK211:PQK212 QAG211:QAG212 QKC211:QKC212 QTY211:QTY212 RDU211:RDU212 RNQ211:RNQ212 RXM211:RXM212 SHI211:SHI212 SRE211:SRE212 TBA211:TBA212 TKW211:TKW212 TUS211:TUS212 UEO211:UEO212 UOK211:UOK212 UYG211:UYG212 VIC211:VIC212 VRY211:VRY212 WBU211:WBU212 WLQ211:WLQ212 WVM211:WVM212 E65747:E65748 JA65747:JA65748 SW65747:SW65748 ACS65747:ACS65748 AMO65747:AMO65748 AWK65747:AWK65748 BGG65747:BGG65748 BQC65747:BQC65748 BZY65747:BZY65748 CJU65747:CJU65748 CTQ65747:CTQ65748 DDM65747:DDM65748 DNI65747:DNI65748 DXE65747:DXE65748 EHA65747:EHA65748 EQW65747:EQW65748 FAS65747:FAS65748 FKO65747:FKO65748 FUK65747:FUK65748 GEG65747:GEG65748 GOC65747:GOC65748 GXY65747:GXY65748 HHU65747:HHU65748 HRQ65747:HRQ65748 IBM65747:IBM65748 ILI65747:ILI65748 IVE65747:IVE65748 JFA65747:JFA65748 JOW65747:JOW65748 JYS65747:JYS65748 KIO65747:KIO65748 KSK65747:KSK65748 LCG65747:LCG65748 LMC65747:LMC65748 LVY65747:LVY65748 MFU65747:MFU65748 MPQ65747:MPQ65748 MZM65747:MZM65748 NJI65747:NJI65748 NTE65747:NTE65748 ODA65747:ODA65748 OMW65747:OMW65748 OWS65747:OWS65748 PGO65747:PGO65748 PQK65747:PQK65748 QAG65747:QAG65748 QKC65747:QKC65748 QTY65747:QTY65748 RDU65747:RDU65748 RNQ65747:RNQ65748 RXM65747:RXM65748 SHI65747:SHI65748 SRE65747:SRE65748 TBA65747:TBA65748 TKW65747:TKW65748 TUS65747:TUS65748 UEO65747:UEO65748 UOK65747:UOK65748 UYG65747:UYG65748 VIC65747:VIC65748 VRY65747:VRY65748 WBU65747:WBU65748 WLQ65747:WLQ65748 WVM65747:WVM65748 E131283:E131284 JA131283:JA131284 SW131283:SW131284 ACS131283:ACS131284 AMO131283:AMO131284 AWK131283:AWK131284 BGG131283:BGG131284 BQC131283:BQC131284 BZY131283:BZY131284 CJU131283:CJU131284 CTQ131283:CTQ131284 DDM131283:DDM131284 DNI131283:DNI131284 DXE131283:DXE131284 EHA131283:EHA131284 EQW131283:EQW131284 FAS131283:FAS131284 FKO131283:FKO131284 FUK131283:FUK131284 GEG131283:GEG131284 GOC131283:GOC131284 GXY131283:GXY131284 HHU131283:HHU131284 HRQ131283:HRQ131284 IBM131283:IBM131284 ILI131283:ILI131284 IVE131283:IVE131284 JFA131283:JFA131284 JOW131283:JOW131284 JYS131283:JYS131284 KIO131283:KIO131284 KSK131283:KSK131284 LCG131283:LCG131284 LMC131283:LMC131284 LVY131283:LVY131284 MFU131283:MFU131284 MPQ131283:MPQ131284 MZM131283:MZM131284 NJI131283:NJI131284 NTE131283:NTE131284 ODA131283:ODA131284 OMW131283:OMW131284 OWS131283:OWS131284 PGO131283:PGO131284 PQK131283:PQK131284 QAG131283:QAG131284 QKC131283:QKC131284 QTY131283:QTY131284 RDU131283:RDU131284 RNQ131283:RNQ131284 RXM131283:RXM131284 SHI131283:SHI131284 SRE131283:SRE131284 TBA131283:TBA131284 TKW131283:TKW131284 TUS131283:TUS131284 UEO131283:UEO131284 UOK131283:UOK131284 UYG131283:UYG131284 VIC131283:VIC131284 VRY131283:VRY131284 WBU131283:WBU131284 WLQ131283:WLQ131284 WVM131283:WVM131284 E196819:E196820 JA196819:JA196820 SW196819:SW196820 ACS196819:ACS196820 AMO196819:AMO196820 AWK196819:AWK196820 BGG196819:BGG196820 BQC196819:BQC196820 BZY196819:BZY196820 CJU196819:CJU196820 CTQ196819:CTQ196820 DDM196819:DDM196820 DNI196819:DNI196820 DXE196819:DXE196820 EHA196819:EHA196820 EQW196819:EQW196820 FAS196819:FAS196820 FKO196819:FKO196820 FUK196819:FUK196820 GEG196819:GEG196820 GOC196819:GOC196820 GXY196819:GXY196820 HHU196819:HHU196820 HRQ196819:HRQ196820 IBM196819:IBM196820 ILI196819:ILI196820 IVE196819:IVE196820 JFA196819:JFA196820 JOW196819:JOW196820 JYS196819:JYS196820 KIO196819:KIO196820 KSK196819:KSK196820 LCG196819:LCG196820 LMC196819:LMC196820 LVY196819:LVY196820 MFU196819:MFU196820 MPQ196819:MPQ196820 MZM196819:MZM196820 NJI196819:NJI196820 NTE196819:NTE196820 ODA196819:ODA196820 OMW196819:OMW196820 OWS196819:OWS196820 PGO196819:PGO196820 PQK196819:PQK196820 QAG196819:QAG196820 QKC196819:QKC196820 QTY196819:QTY196820 RDU196819:RDU196820 RNQ196819:RNQ196820 RXM196819:RXM196820 SHI196819:SHI196820 SRE196819:SRE196820 TBA196819:TBA196820 TKW196819:TKW196820 TUS196819:TUS196820 UEO196819:UEO196820 UOK196819:UOK196820 UYG196819:UYG196820 VIC196819:VIC196820 VRY196819:VRY196820 WBU196819:WBU196820 WLQ196819:WLQ196820 WVM196819:WVM196820 E262355:E262356 JA262355:JA262356 SW262355:SW262356 ACS262355:ACS262356 AMO262355:AMO262356 AWK262355:AWK262356 BGG262355:BGG262356 BQC262355:BQC262356 BZY262355:BZY262356 CJU262355:CJU262356 CTQ262355:CTQ262356 DDM262355:DDM262356 DNI262355:DNI262356 DXE262355:DXE262356 EHA262355:EHA262356 EQW262355:EQW262356 FAS262355:FAS262356 FKO262355:FKO262356 FUK262355:FUK262356 GEG262355:GEG262356 GOC262355:GOC262356 GXY262355:GXY262356 HHU262355:HHU262356 HRQ262355:HRQ262356 IBM262355:IBM262356 ILI262355:ILI262356 IVE262355:IVE262356 JFA262355:JFA262356 JOW262355:JOW262356 JYS262355:JYS262356 KIO262355:KIO262356 KSK262355:KSK262356 LCG262355:LCG262356 LMC262355:LMC262356 LVY262355:LVY262356 MFU262355:MFU262356 MPQ262355:MPQ262356 MZM262355:MZM262356 NJI262355:NJI262356 NTE262355:NTE262356 ODA262355:ODA262356 OMW262355:OMW262356 OWS262355:OWS262356 PGO262355:PGO262356 PQK262355:PQK262356 QAG262355:QAG262356 QKC262355:QKC262356 QTY262355:QTY262356 RDU262355:RDU262356 RNQ262355:RNQ262356 RXM262355:RXM262356 SHI262355:SHI262356 SRE262355:SRE262356 TBA262355:TBA262356 TKW262355:TKW262356 TUS262355:TUS262356 UEO262355:UEO262356 UOK262355:UOK262356 UYG262355:UYG262356 VIC262355:VIC262356 VRY262355:VRY262356 WBU262355:WBU262356 WLQ262355:WLQ262356 WVM262355:WVM262356 E327891:E327892 JA327891:JA327892 SW327891:SW327892 ACS327891:ACS327892 AMO327891:AMO327892 AWK327891:AWK327892 BGG327891:BGG327892 BQC327891:BQC327892 BZY327891:BZY327892 CJU327891:CJU327892 CTQ327891:CTQ327892 DDM327891:DDM327892 DNI327891:DNI327892 DXE327891:DXE327892 EHA327891:EHA327892 EQW327891:EQW327892 FAS327891:FAS327892 FKO327891:FKO327892 FUK327891:FUK327892 GEG327891:GEG327892 GOC327891:GOC327892 GXY327891:GXY327892 HHU327891:HHU327892 HRQ327891:HRQ327892 IBM327891:IBM327892 ILI327891:ILI327892 IVE327891:IVE327892 JFA327891:JFA327892 JOW327891:JOW327892 JYS327891:JYS327892 KIO327891:KIO327892 KSK327891:KSK327892 LCG327891:LCG327892 LMC327891:LMC327892 LVY327891:LVY327892 MFU327891:MFU327892 MPQ327891:MPQ327892 MZM327891:MZM327892 NJI327891:NJI327892 NTE327891:NTE327892 ODA327891:ODA327892 OMW327891:OMW327892 OWS327891:OWS327892 PGO327891:PGO327892 PQK327891:PQK327892 QAG327891:QAG327892 QKC327891:QKC327892 QTY327891:QTY327892 RDU327891:RDU327892 RNQ327891:RNQ327892 RXM327891:RXM327892 SHI327891:SHI327892 SRE327891:SRE327892 TBA327891:TBA327892 TKW327891:TKW327892 TUS327891:TUS327892 UEO327891:UEO327892 UOK327891:UOK327892 UYG327891:UYG327892 VIC327891:VIC327892 VRY327891:VRY327892 WBU327891:WBU327892 WLQ327891:WLQ327892 WVM327891:WVM327892 E393427:E393428 JA393427:JA393428 SW393427:SW393428 ACS393427:ACS393428 AMO393427:AMO393428 AWK393427:AWK393428 BGG393427:BGG393428 BQC393427:BQC393428 BZY393427:BZY393428 CJU393427:CJU393428 CTQ393427:CTQ393428 DDM393427:DDM393428 DNI393427:DNI393428 DXE393427:DXE393428 EHA393427:EHA393428 EQW393427:EQW393428 FAS393427:FAS393428 FKO393427:FKO393428 FUK393427:FUK393428 GEG393427:GEG393428 GOC393427:GOC393428 GXY393427:GXY393428 HHU393427:HHU393428 HRQ393427:HRQ393428 IBM393427:IBM393428 ILI393427:ILI393428 IVE393427:IVE393428 JFA393427:JFA393428 JOW393427:JOW393428 JYS393427:JYS393428 KIO393427:KIO393428 KSK393427:KSK393428 LCG393427:LCG393428 LMC393427:LMC393428 LVY393427:LVY393428 MFU393427:MFU393428 MPQ393427:MPQ393428 MZM393427:MZM393428 NJI393427:NJI393428 NTE393427:NTE393428 ODA393427:ODA393428 OMW393427:OMW393428 OWS393427:OWS393428 PGO393427:PGO393428 PQK393427:PQK393428 QAG393427:QAG393428 QKC393427:QKC393428 QTY393427:QTY393428 RDU393427:RDU393428 RNQ393427:RNQ393428 RXM393427:RXM393428 SHI393427:SHI393428 SRE393427:SRE393428 TBA393427:TBA393428 TKW393427:TKW393428 TUS393427:TUS393428 UEO393427:UEO393428 UOK393427:UOK393428 UYG393427:UYG393428 VIC393427:VIC393428 VRY393427:VRY393428 WBU393427:WBU393428 WLQ393427:WLQ393428 WVM393427:WVM393428 E458963:E458964 JA458963:JA458964 SW458963:SW458964 ACS458963:ACS458964 AMO458963:AMO458964 AWK458963:AWK458964 BGG458963:BGG458964 BQC458963:BQC458964 BZY458963:BZY458964 CJU458963:CJU458964 CTQ458963:CTQ458964 DDM458963:DDM458964 DNI458963:DNI458964 DXE458963:DXE458964 EHA458963:EHA458964 EQW458963:EQW458964 FAS458963:FAS458964 FKO458963:FKO458964 FUK458963:FUK458964 GEG458963:GEG458964 GOC458963:GOC458964 GXY458963:GXY458964 HHU458963:HHU458964 HRQ458963:HRQ458964 IBM458963:IBM458964 ILI458963:ILI458964 IVE458963:IVE458964 JFA458963:JFA458964 JOW458963:JOW458964 JYS458963:JYS458964 KIO458963:KIO458964 KSK458963:KSK458964 LCG458963:LCG458964 LMC458963:LMC458964 LVY458963:LVY458964 MFU458963:MFU458964 MPQ458963:MPQ458964 MZM458963:MZM458964 NJI458963:NJI458964 NTE458963:NTE458964 ODA458963:ODA458964 OMW458963:OMW458964 OWS458963:OWS458964 PGO458963:PGO458964 PQK458963:PQK458964 QAG458963:QAG458964 QKC458963:QKC458964 QTY458963:QTY458964 RDU458963:RDU458964 RNQ458963:RNQ458964 RXM458963:RXM458964 SHI458963:SHI458964 SRE458963:SRE458964 TBA458963:TBA458964 TKW458963:TKW458964 TUS458963:TUS458964 UEO458963:UEO458964 UOK458963:UOK458964 UYG458963:UYG458964 VIC458963:VIC458964 VRY458963:VRY458964 WBU458963:WBU458964 WLQ458963:WLQ458964 WVM458963:WVM458964 E524499:E524500 JA524499:JA524500 SW524499:SW524500 ACS524499:ACS524500 AMO524499:AMO524500 AWK524499:AWK524500 BGG524499:BGG524500 BQC524499:BQC524500 BZY524499:BZY524500 CJU524499:CJU524500 CTQ524499:CTQ524500 DDM524499:DDM524500 DNI524499:DNI524500 DXE524499:DXE524500 EHA524499:EHA524500 EQW524499:EQW524500 FAS524499:FAS524500 FKO524499:FKO524500 FUK524499:FUK524500 GEG524499:GEG524500 GOC524499:GOC524500 GXY524499:GXY524500 HHU524499:HHU524500 HRQ524499:HRQ524500 IBM524499:IBM524500 ILI524499:ILI524500 IVE524499:IVE524500 JFA524499:JFA524500 JOW524499:JOW524500 JYS524499:JYS524500 KIO524499:KIO524500 KSK524499:KSK524500 LCG524499:LCG524500 LMC524499:LMC524500 LVY524499:LVY524500 MFU524499:MFU524500 MPQ524499:MPQ524500 MZM524499:MZM524500 NJI524499:NJI524500 NTE524499:NTE524500 ODA524499:ODA524500 OMW524499:OMW524500 OWS524499:OWS524500 PGO524499:PGO524500 PQK524499:PQK524500 QAG524499:QAG524500 QKC524499:QKC524500 QTY524499:QTY524500 RDU524499:RDU524500 RNQ524499:RNQ524500 RXM524499:RXM524500 SHI524499:SHI524500 SRE524499:SRE524500 TBA524499:TBA524500 TKW524499:TKW524500 TUS524499:TUS524500 UEO524499:UEO524500 UOK524499:UOK524500 UYG524499:UYG524500 VIC524499:VIC524500 VRY524499:VRY524500 WBU524499:WBU524500 WLQ524499:WLQ524500 WVM524499:WVM524500 E590035:E590036 JA590035:JA590036 SW590035:SW590036 ACS590035:ACS590036 AMO590035:AMO590036 AWK590035:AWK590036 BGG590035:BGG590036 BQC590035:BQC590036 BZY590035:BZY590036 CJU590035:CJU590036 CTQ590035:CTQ590036 DDM590035:DDM590036 DNI590035:DNI590036 DXE590035:DXE590036 EHA590035:EHA590036 EQW590035:EQW590036 FAS590035:FAS590036 FKO590035:FKO590036 FUK590035:FUK590036 GEG590035:GEG590036 GOC590035:GOC590036 GXY590035:GXY590036 HHU590035:HHU590036 HRQ590035:HRQ590036 IBM590035:IBM590036 ILI590035:ILI590036 IVE590035:IVE590036 JFA590035:JFA590036 JOW590035:JOW590036 JYS590035:JYS590036 KIO590035:KIO590036 KSK590035:KSK590036 LCG590035:LCG590036 LMC590035:LMC590036 LVY590035:LVY590036 MFU590035:MFU590036 MPQ590035:MPQ590036 MZM590035:MZM590036 NJI590035:NJI590036 NTE590035:NTE590036 ODA590035:ODA590036 OMW590035:OMW590036 OWS590035:OWS590036 PGO590035:PGO590036 PQK590035:PQK590036 QAG590035:QAG590036 QKC590035:QKC590036 QTY590035:QTY590036 RDU590035:RDU590036 RNQ590035:RNQ590036 RXM590035:RXM590036 SHI590035:SHI590036 SRE590035:SRE590036 TBA590035:TBA590036 TKW590035:TKW590036 TUS590035:TUS590036 UEO590035:UEO590036 UOK590035:UOK590036 UYG590035:UYG590036 VIC590035:VIC590036 VRY590035:VRY590036 WBU590035:WBU590036 WLQ590035:WLQ590036 WVM590035:WVM590036 E655571:E655572 JA655571:JA655572 SW655571:SW655572 ACS655571:ACS655572 AMO655571:AMO655572 AWK655571:AWK655572 BGG655571:BGG655572 BQC655571:BQC655572 BZY655571:BZY655572 CJU655571:CJU655572 CTQ655571:CTQ655572 DDM655571:DDM655572 DNI655571:DNI655572 DXE655571:DXE655572 EHA655571:EHA655572 EQW655571:EQW655572 FAS655571:FAS655572 FKO655571:FKO655572 FUK655571:FUK655572 GEG655571:GEG655572 GOC655571:GOC655572 GXY655571:GXY655572 HHU655571:HHU655572 HRQ655571:HRQ655572 IBM655571:IBM655572 ILI655571:ILI655572 IVE655571:IVE655572 JFA655571:JFA655572 JOW655571:JOW655572 JYS655571:JYS655572 KIO655571:KIO655572 KSK655571:KSK655572 LCG655571:LCG655572 LMC655571:LMC655572 LVY655571:LVY655572 MFU655571:MFU655572 MPQ655571:MPQ655572 MZM655571:MZM655572 NJI655571:NJI655572 NTE655571:NTE655572 ODA655571:ODA655572 OMW655571:OMW655572 OWS655571:OWS655572 PGO655571:PGO655572 PQK655571:PQK655572 QAG655571:QAG655572 QKC655571:QKC655572 QTY655571:QTY655572 RDU655571:RDU655572 RNQ655571:RNQ655572 RXM655571:RXM655572 SHI655571:SHI655572 SRE655571:SRE655572 TBA655571:TBA655572 TKW655571:TKW655572 TUS655571:TUS655572 UEO655571:UEO655572 UOK655571:UOK655572 UYG655571:UYG655572 VIC655571:VIC655572 VRY655571:VRY655572 WBU655571:WBU655572 WLQ655571:WLQ655572 WVM655571:WVM655572 E721107:E721108 JA721107:JA721108 SW721107:SW721108 ACS721107:ACS721108 AMO721107:AMO721108 AWK721107:AWK721108 BGG721107:BGG721108 BQC721107:BQC721108 BZY721107:BZY721108 CJU721107:CJU721108 CTQ721107:CTQ721108 DDM721107:DDM721108 DNI721107:DNI721108 DXE721107:DXE721108 EHA721107:EHA721108 EQW721107:EQW721108 FAS721107:FAS721108 FKO721107:FKO721108 FUK721107:FUK721108 GEG721107:GEG721108 GOC721107:GOC721108 GXY721107:GXY721108 HHU721107:HHU721108 HRQ721107:HRQ721108 IBM721107:IBM721108 ILI721107:ILI721108 IVE721107:IVE721108 JFA721107:JFA721108 JOW721107:JOW721108 JYS721107:JYS721108 KIO721107:KIO721108 KSK721107:KSK721108 LCG721107:LCG721108 LMC721107:LMC721108 LVY721107:LVY721108 MFU721107:MFU721108 MPQ721107:MPQ721108 MZM721107:MZM721108 NJI721107:NJI721108 NTE721107:NTE721108 ODA721107:ODA721108 OMW721107:OMW721108 OWS721107:OWS721108 PGO721107:PGO721108 PQK721107:PQK721108 QAG721107:QAG721108 QKC721107:QKC721108 QTY721107:QTY721108 RDU721107:RDU721108 RNQ721107:RNQ721108 RXM721107:RXM721108 SHI721107:SHI721108 SRE721107:SRE721108 TBA721107:TBA721108 TKW721107:TKW721108 TUS721107:TUS721108 UEO721107:UEO721108 UOK721107:UOK721108 UYG721107:UYG721108 VIC721107:VIC721108 VRY721107:VRY721108 WBU721107:WBU721108 WLQ721107:WLQ721108 WVM721107:WVM721108 E786643:E786644 JA786643:JA786644 SW786643:SW786644 ACS786643:ACS786644 AMO786643:AMO786644 AWK786643:AWK786644 BGG786643:BGG786644 BQC786643:BQC786644 BZY786643:BZY786644 CJU786643:CJU786644 CTQ786643:CTQ786644 DDM786643:DDM786644 DNI786643:DNI786644 DXE786643:DXE786644 EHA786643:EHA786644 EQW786643:EQW786644 FAS786643:FAS786644 FKO786643:FKO786644 FUK786643:FUK786644 GEG786643:GEG786644 GOC786643:GOC786644 GXY786643:GXY786644 HHU786643:HHU786644 HRQ786643:HRQ786644 IBM786643:IBM786644 ILI786643:ILI786644 IVE786643:IVE786644 JFA786643:JFA786644 JOW786643:JOW786644 JYS786643:JYS786644 KIO786643:KIO786644 KSK786643:KSK786644 LCG786643:LCG786644 LMC786643:LMC786644 LVY786643:LVY786644 MFU786643:MFU786644 MPQ786643:MPQ786644 MZM786643:MZM786644 NJI786643:NJI786644 NTE786643:NTE786644 ODA786643:ODA786644 OMW786643:OMW786644 OWS786643:OWS786644 PGO786643:PGO786644 PQK786643:PQK786644 QAG786643:QAG786644 QKC786643:QKC786644 QTY786643:QTY786644 RDU786643:RDU786644 RNQ786643:RNQ786644 RXM786643:RXM786644 SHI786643:SHI786644 SRE786643:SRE786644 TBA786643:TBA786644 TKW786643:TKW786644 TUS786643:TUS786644 UEO786643:UEO786644 UOK786643:UOK786644 UYG786643:UYG786644 VIC786643:VIC786644 VRY786643:VRY786644 WBU786643:WBU786644 WLQ786643:WLQ786644 WVM786643:WVM786644 E852179:E852180 JA852179:JA852180 SW852179:SW852180 ACS852179:ACS852180 AMO852179:AMO852180 AWK852179:AWK852180 BGG852179:BGG852180 BQC852179:BQC852180 BZY852179:BZY852180 CJU852179:CJU852180 CTQ852179:CTQ852180 DDM852179:DDM852180 DNI852179:DNI852180 DXE852179:DXE852180 EHA852179:EHA852180 EQW852179:EQW852180 FAS852179:FAS852180 FKO852179:FKO852180 FUK852179:FUK852180 GEG852179:GEG852180 GOC852179:GOC852180 GXY852179:GXY852180 HHU852179:HHU852180 HRQ852179:HRQ852180 IBM852179:IBM852180 ILI852179:ILI852180 IVE852179:IVE852180 JFA852179:JFA852180 JOW852179:JOW852180 JYS852179:JYS852180 KIO852179:KIO852180 KSK852179:KSK852180 LCG852179:LCG852180 LMC852179:LMC852180 LVY852179:LVY852180 MFU852179:MFU852180 MPQ852179:MPQ852180 MZM852179:MZM852180 NJI852179:NJI852180 NTE852179:NTE852180 ODA852179:ODA852180 OMW852179:OMW852180 OWS852179:OWS852180 PGO852179:PGO852180 PQK852179:PQK852180 QAG852179:QAG852180 QKC852179:QKC852180 QTY852179:QTY852180 RDU852179:RDU852180 RNQ852179:RNQ852180 RXM852179:RXM852180 SHI852179:SHI852180 SRE852179:SRE852180 TBA852179:TBA852180 TKW852179:TKW852180 TUS852179:TUS852180 UEO852179:UEO852180 UOK852179:UOK852180 UYG852179:UYG852180 VIC852179:VIC852180 VRY852179:VRY852180 WBU852179:WBU852180 WLQ852179:WLQ852180 WVM852179:WVM852180 E917715:E917716 JA917715:JA917716 SW917715:SW917716 ACS917715:ACS917716 AMO917715:AMO917716 AWK917715:AWK917716 BGG917715:BGG917716 BQC917715:BQC917716 BZY917715:BZY917716 CJU917715:CJU917716 CTQ917715:CTQ917716 DDM917715:DDM917716 DNI917715:DNI917716 DXE917715:DXE917716 EHA917715:EHA917716 EQW917715:EQW917716 FAS917715:FAS917716 FKO917715:FKO917716 FUK917715:FUK917716 GEG917715:GEG917716 GOC917715:GOC917716 GXY917715:GXY917716 HHU917715:HHU917716 HRQ917715:HRQ917716 IBM917715:IBM917716 ILI917715:ILI917716 IVE917715:IVE917716 JFA917715:JFA917716 JOW917715:JOW917716 JYS917715:JYS917716 KIO917715:KIO917716 KSK917715:KSK917716 LCG917715:LCG917716 LMC917715:LMC917716 LVY917715:LVY917716 MFU917715:MFU917716 MPQ917715:MPQ917716 MZM917715:MZM917716 NJI917715:NJI917716 NTE917715:NTE917716 ODA917715:ODA917716 OMW917715:OMW917716 OWS917715:OWS917716 PGO917715:PGO917716 PQK917715:PQK917716 QAG917715:QAG917716 QKC917715:QKC917716 QTY917715:QTY917716 RDU917715:RDU917716 RNQ917715:RNQ917716 RXM917715:RXM917716 SHI917715:SHI917716 SRE917715:SRE917716 TBA917715:TBA917716 TKW917715:TKW917716 TUS917715:TUS917716 UEO917715:UEO917716 UOK917715:UOK917716 UYG917715:UYG917716 VIC917715:VIC917716 VRY917715:VRY917716 WBU917715:WBU917716 WLQ917715:WLQ917716 WVM917715:WVM917716 E983251:E983252 JA983251:JA983252 SW983251:SW983252 ACS983251:ACS983252 AMO983251:AMO983252 AWK983251:AWK983252 BGG983251:BGG983252 BQC983251:BQC983252 BZY983251:BZY983252 CJU983251:CJU983252 CTQ983251:CTQ983252 DDM983251:DDM983252 DNI983251:DNI983252 DXE983251:DXE983252 EHA983251:EHA983252 EQW983251:EQW983252 FAS983251:FAS983252 FKO983251:FKO983252 FUK983251:FUK983252 GEG983251:GEG983252 GOC983251:GOC983252 GXY983251:GXY983252 HHU983251:HHU983252 HRQ983251:HRQ983252 IBM983251:IBM983252 ILI983251:ILI983252 IVE983251:IVE983252 JFA983251:JFA983252 JOW983251:JOW983252 JYS983251:JYS983252 KIO983251:KIO983252 KSK983251:KSK983252 LCG983251:LCG983252 LMC983251:LMC983252 LVY983251:LVY983252 MFU983251:MFU983252 MPQ983251:MPQ983252 MZM983251:MZM983252 NJI983251:NJI983252 NTE983251:NTE983252 ODA983251:ODA983252 OMW983251:OMW983252 OWS983251:OWS983252 PGO983251:PGO983252 PQK983251:PQK983252 QAG983251:QAG983252 QKC983251:QKC983252 QTY983251:QTY983252 RDU983251:RDU983252 RNQ983251:RNQ983252 RXM983251:RXM983252 SHI983251:SHI983252 SRE983251:SRE983252 TBA983251:TBA983252 TKW983251:TKW983252 TUS983251:TUS983252 UEO983251:UEO983252 UOK983251:UOK983252 UYG983251:UYG983252 VIC983251:VIC983252 VRY983251:VRY983252 WBU983251:WBU983252 WLQ983251:WLQ983252 WVM983251:WVM983252" xr:uid="{00000000-0002-0000-1700-000000000000}">
      <formula1>"有り,無し"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9" scale="65" fitToHeight="7" orientation="landscape" cellComments="asDisplayed" r:id="rId1"/>
  <rowBreaks count="6" manualBreakCount="6">
    <brk id="62" max="11" man="1"/>
    <brk id="107" max="11" man="1"/>
    <brk id="148" max="11" man="1"/>
    <brk id="207" max="11" man="1"/>
    <brk id="252" max="11" man="1"/>
    <brk id="293" max="11" man="1"/>
  </rowBreaks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FF00"/>
  </sheetPr>
  <dimension ref="A1:IV509"/>
  <sheetViews>
    <sheetView view="pageBreakPreview" zoomScale="85" zoomScaleNormal="115" zoomScaleSheetLayoutView="85" workbookViewId="0">
      <selection activeCell="B1" sqref="B1"/>
    </sheetView>
  </sheetViews>
  <sheetFormatPr baseColWidth="10" defaultColWidth="8.83203125" defaultRowHeight="13.5" customHeight="1"/>
  <cols>
    <col min="1" max="1" width="2.5" style="2024" customWidth="1"/>
    <col min="2" max="2" width="2.83203125" style="2024" customWidth="1"/>
    <col min="3" max="3" width="21.6640625" style="2024" customWidth="1"/>
    <col min="4" max="4" width="3.5" style="2024" customWidth="1"/>
    <col min="5" max="5" width="5.6640625" style="2024" customWidth="1"/>
    <col min="6" max="6" width="15.33203125" style="2024" customWidth="1"/>
    <col min="7" max="14" width="18.1640625" style="2534" customWidth="1"/>
    <col min="15" max="256" width="9" style="1762"/>
    <col min="257" max="257" width="2.5" style="1762" customWidth="1"/>
    <col min="258" max="258" width="2.83203125" style="1762" customWidth="1"/>
    <col min="259" max="259" width="21.6640625" style="1762" customWidth="1"/>
    <col min="260" max="260" width="3.5" style="1762" customWidth="1"/>
    <col min="261" max="261" width="5.6640625" style="1762" customWidth="1"/>
    <col min="262" max="262" width="15.33203125" style="1762" customWidth="1"/>
    <col min="263" max="270" width="18.1640625" style="1762" customWidth="1"/>
    <col min="271" max="512" width="9" style="1762"/>
    <col min="513" max="513" width="2.5" style="1762" customWidth="1"/>
    <col min="514" max="514" width="2.83203125" style="1762" customWidth="1"/>
    <col min="515" max="515" width="21.6640625" style="1762" customWidth="1"/>
    <col min="516" max="516" width="3.5" style="1762" customWidth="1"/>
    <col min="517" max="517" width="5.6640625" style="1762" customWidth="1"/>
    <col min="518" max="518" width="15.33203125" style="1762" customWidth="1"/>
    <col min="519" max="526" width="18.1640625" style="1762" customWidth="1"/>
    <col min="527" max="768" width="9" style="1762"/>
    <col min="769" max="769" width="2.5" style="1762" customWidth="1"/>
    <col min="770" max="770" width="2.83203125" style="1762" customWidth="1"/>
    <col min="771" max="771" width="21.6640625" style="1762" customWidth="1"/>
    <col min="772" max="772" width="3.5" style="1762" customWidth="1"/>
    <col min="773" max="773" width="5.6640625" style="1762" customWidth="1"/>
    <col min="774" max="774" width="15.33203125" style="1762" customWidth="1"/>
    <col min="775" max="782" width="18.1640625" style="1762" customWidth="1"/>
    <col min="783" max="1024" width="9" style="1762"/>
    <col min="1025" max="1025" width="2.5" style="1762" customWidth="1"/>
    <col min="1026" max="1026" width="2.83203125" style="1762" customWidth="1"/>
    <col min="1027" max="1027" width="21.6640625" style="1762" customWidth="1"/>
    <col min="1028" max="1028" width="3.5" style="1762" customWidth="1"/>
    <col min="1029" max="1029" width="5.6640625" style="1762" customWidth="1"/>
    <col min="1030" max="1030" width="15.33203125" style="1762" customWidth="1"/>
    <col min="1031" max="1038" width="18.1640625" style="1762" customWidth="1"/>
    <col min="1039" max="1280" width="9" style="1762"/>
    <col min="1281" max="1281" width="2.5" style="1762" customWidth="1"/>
    <col min="1282" max="1282" width="2.83203125" style="1762" customWidth="1"/>
    <col min="1283" max="1283" width="21.6640625" style="1762" customWidth="1"/>
    <col min="1284" max="1284" width="3.5" style="1762" customWidth="1"/>
    <col min="1285" max="1285" width="5.6640625" style="1762" customWidth="1"/>
    <col min="1286" max="1286" width="15.33203125" style="1762" customWidth="1"/>
    <col min="1287" max="1294" width="18.1640625" style="1762" customWidth="1"/>
    <col min="1295" max="1536" width="9" style="1762"/>
    <col min="1537" max="1537" width="2.5" style="1762" customWidth="1"/>
    <col min="1538" max="1538" width="2.83203125" style="1762" customWidth="1"/>
    <col min="1539" max="1539" width="21.6640625" style="1762" customWidth="1"/>
    <col min="1540" max="1540" width="3.5" style="1762" customWidth="1"/>
    <col min="1541" max="1541" width="5.6640625" style="1762" customWidth="1"/>
    <col min="1542" max="1542" width="15.33203125" style="1762" customWidth="1"/>
    <col min="1543" max="1550" width="18.1640625" style="1762" customWidth="1"/>
    <col min="1551" max="1792" width="9" style="1762"/>
    <col min="1793" max="1793" width="2.5" style="1762" customWidth="1"/>
    <col min="1794" max="1794" width="2.83203125" style="1762" customWidth="1"/>
    <col min="1795" max="1795" width="21.6640625" style="1762" customWidth="1"/>
    <col min="1796" max="1796" width="3.5" style="1762" customWidth="1"/>
    <col min="1797" max="1797" width="5.6640625" style="1762" customWidth="1"/>
    <col min="1798" max="1798" width="15.33203125" style="1762" customWidth="1"/>
    <col min="1799" max="1806" width="18.1640625" style="1762" customWidth="1"/>
    <col min="1807" max="2048" width="9" style="1762"/>
    <col min="2049" max="2049" width="2.5" style="1762" customWidth="1"/>
    <col min="2050" max="2050" width="2.83203125" style="1762" customWidth="1"/>
    <col min="2051" max="2051" width="21.6640625" style="1762" customWidth="1"/>
    <col min="2052" max="2052" width="3.5" style="1762" customWidth="1"/>
    <col min="2053" max="2053" width="5.6640625" style="1762" customWidth="1"/>
    <col min="2054" max="2054" width="15.33203125" style="1762" customWidth="1"/>
    <col min="2055" max="2062" width="18.1640625" style="1762" customWidth="1"/>
    <col min="2063" max="2304" width="9" style="1762"/>
    <col min="2305" max="2305" width="2.5" style="1762" customWidth="1"/>
    <col min="2306" max="2306" width="2.83203125" style="1762" customWidth="1"/>
    <col min="2307" max="2307" width="21.6640625" style="1762" customWidth="1"/>
    <col min="2308" max="2308" width="3.5" style="1762" customWidth="1"/>
    <col min="2309" max="2309" width="5.6640625" style="1762" customWidth="1"/>
    <col min="2310" max="2310" width="15.33203125" style="1762" customWidth="1"/>
    <col min="2311" max="2318" width="18.1640625" style="1762" customWidth="1"/>
    <col min="2319" max="2560" width="9" style="1762"/>
    <col min="2561" max="2561" width="2.5" style="1762" customWidth="1"/>
    <col min="2562" max="2562" width="2.83203125" style="1762" customWidth="1"/>
    <col min="2563" max="2563" width="21.6640625" style="1762" customWidth="1"/>
    <col min="2564" max="2564" width="3.5" style="1762" customWidth="1"/>
    <col min="2565" max="2565" width="5.6640625" style="1762" customWidth="1"/>
    <col min="2566" max="2566" width="15.33203125" style="1762" customWidth="1"/>
    <col min="2567" max="2574" width="18.1640625" style="1762" customWidth="1"/>
    <col min="2575" max="2816" width="9" style="1762"/>
    <col min="2817" max="2817" width="2.5" style="1762" customWidth="1"/>
    <col min="2818" max="2818" width="2.83203125" style="1762" customWidth="1"/>
    <col min="2819" max="2819" width="21.6640625" style="1762" customWidth="1"/>
    <col min="2820" max="2820" width="3.5" style="1762" customWidth="1"/>
    <col min="2821" max="2821" width="5.6640625" style="1762" customWidth="1"/>
    <col min="2822" max="2822" width="15.33203125" style="1762" customWidth="1"/>
    <col min="2823" max="2830" width="18.1640625" style="1762" customWidth="1"/>
    <col min="2831" max="3072" width="9" style="1762"/>
    <col min="3073" max="3073" width="2.5" style="1762" customWidth="1"/>
    <col min="3074" max="3074" width="2.83203125" style="1762" customWidth="1"/>
    <col min="3075" max="3075" width="21.6640625" style="1762" customWidth="1"/>
    <col min="3076" max="3076" width="3.5" style="1762" customWidth="1"/>
    <col min="3077" max="3077" width="5.6640625" style="1762" customWidth="1"/>
    <col min="3078" max="3078" width="15.33203125" style="1762" customWidth="1"/>
    <col min="3079" max="3086" width="18.1640625" style="1762" customWidth="1"/>
    <col min="3087" max="3328" width="9" style="1762"/>
    <col min="3329" max="3329" width="2.5" style="1762" customWidth="1"/>
    <col min="3330" max="3330" width="2.83203125" style="1762" customWidth="1"/>
    <col min="3331" max="3331" width="21.6640625" style="1762" customWidth="1"/>
    <col min="3332" max="3332" width="3.5" style="1762" customWidth="1"/>
    <col min="3333" max="3333" width="5.6640625" style="1762" customWidth="1"/>
    <col min="3334" max="3334" width="15.33203125" style="1762" customWidth="1"/>
    <col min="3335" max="3342" width="18.1640625" style="1762" customWidth="1"/>
    <col min="3343" max="3584" width="9" style="1762"/>
    <col min="3585" max="3585" width="2.5" style="1762" customWidth="1"/>
    <col min="3586" max="3586" width="2.83203125" style="1762" customWidth="1"/>
    <col min="3587" max="3587" width="21.6640625" style="1762" customWidth="1"/>
    <col min="3588" max="3588" width="3.5" style="1762" customWidth="1"/>
    <col min="3589" max="3589" width="5.6640625" style="1762" customWidth="1"/>
    <col min="3590" max="3590" width="15.33203125" style="1762" customWidth="1"/>
    <col min="3591" max="3598" width="18.1640625" style="1762" customWidth="1"/>
    <col min="3599" max="3840" width="9" style="1762"/>
    <col min="3841" max="3841" width="2.5" style="1762" customWidth="1"/>
    <col min="3842" max="3842" width="2.83203125" style="1762" customWidth="1"/>
    <col min="3843" max="3843" width="21.6640625" style="1762" customWidth="1"/>
    <col min="3844" max="3844" width="3.5" style="1762" customWidth="1"/>
    <col min="3845" max="3845" width="5.6640625" style="1762" customWidth="1"/>
    <col min="3846" max="3846" width="15.33203125" style="1762" customWidth="1"/>
    <col min="3847" max="3854" width="18.1640625" style="1762" customWidth="1"/>
    <col min="3855" max="4096" width="9" style="1762"/>
    <col min="4097" max="4097" width="2.5" style="1762" customWidth="1"/>
    <col min="4098" max="4098" width="2.83203125" style="1762" customWidth="1"/>
    <col min="4099" max="4099" width="21.6640625" style="1762" customWidth="1"/>
    <col min="4100" max="4100" width="3.5" style="1762" customWidth="1"/>
    <col min="4101" max="4101" width="5.6640625" style="1762" customWidth="1"/>
    <col min="4102" max="4102" width="15.33203125" style="1762" customWidth="1"/>
    <col min="4103" max="4110" width="18.1640625" style="1762" customWidth="1"/>
    <col min="4111" max="4352" width="9" style="1762"/>
    <col min="4353" max="4353" width="2.5" style="1762" customWidth="1"/>
    <col min="4354" max="4354" width="2.83203125" style="1762" customWidth="1"/>
    <col min="4355" max="4355" width="21.6640625" style="1762" customWidth="1"/>
    <col min="4356" max="4356" width="3.5" style="1762" customWidth="1"/>
    <col min="4357" max="4357" width="5.6640625" style="1762" customWidth="1"/>
    <col min="4358" max="4358" width="15.33203125" style="1762" customWidth="1"/>
    <col min="4359" max="4366" width="18.1640625" style="1762" customWidth="1"/>
    <col min="4367" max="4608" width="9" style="1762"/>
    <col min="4609" max="4609" width="2.5" style="1762" customWidth="1"/>
    <col min="4610" max="4610" width="2.83203125" style="1762" customWidth="1"/>
    <col min="4611" max="4611" width="21.6640625" style="1762" customWidth="1"/>
    <col min="4612" max="4612" width="3.5" style="1762" customWidth="1"/>
    <col min="4613" max="4613" width="5.6640625" style="1762" customWidth="1"/>
    <col min="4614" max="4614" width="15.33203125" style="1762" customWidth="1"/>
    <col min="4615" max="4622" width="18.1640625" style="1762" customWidth="1"/>
    <col min="4623" max="4864" width="9" style="1762"/>
    <col min="4865" max="4865" width="2.5" style="1762" customWidth="1"/>
    <col min="4866" max="4866" width="2.83203125" style="1762" customWidth="1"/>
    <col min="4867" max="4867" width="21.6640625" style="1762" customWidth="1"/>
    <col min="4868" max="4868" width="3.5" style="1762" customWidth="1"/>
    <col min="4869" max="4869" width="5.6640625" style="1762" customWidth="1"/>
    <col min="4870" max="4870" width="15.33203125" style="1762" customWidth="1"/>
    <col min="4871" max="4878" width="18.1640625" style="1762" customWidth="1"/>
    <col min="4879" max="5120" width="9" style="1762"/>
    <col min="5121" max="5121" width="2.5" style="1762" customWidth="1"/>
    <col min="5122" max="5122" width="2.83203125" style="1762" customWidth="1"/>
    <col min="5123" max="5123" width="21.6640625" style="1762" customWidth="1"/>
    <col min="5124" max="5124" width="3.5" style="1762" customWidth="1"/>
    <col min="5125" max="5125" width="5.6640625" style="1762" customWidth="1"/>
    <col min="5126" max="5126" width="15.33203125" style="1762" customWidth="1"/>
    <col min="5127" max="5134" width="18.1640625" style="1762" customWidth="1"/>
    <col min="5135" max="5376" width="9" style="1762"/>
    <col min="5377" max="5377" width="2.5" style="1762" customWidth="1"/>
    <col min="5378" max="5378" width="2.83203125" style="1762" customWidth="1"/>
    <col min="5379" max="5379" width="21.6640625" style="1762" customWidth="1"/>
    <col min="5380" max="5380" width="3.5" style="1762" customWidth="1"/>
    <col min="5381" max="5381" width="5.6640625" style="1762" customWidth="1"/>
    <col min="5382" max="5382" width="15.33203125" style="1762" customWidth="1"/>
    <col min="5383" max="5390" width="18.1640625" style="1762" customWidth="1"/>
    <col min="5391" max="5632" width="9" style="1762"/>
    <col min="5633" max="5633" width="2.5" style="1762" customWidth="1"/>
    <col min="5634" max="5634" width="2.83203125" style="1762" customWidth="1"/>
    <col min="5635" max="5635" width="21.6640625" style="1762" customWidth="1"/>
    <col min="5636" max="5636" width="3.5" style="1762" customWidth="1"/>
    <col min="5637" max="5637" width="5.6640625" style="1762" customWidth="1"/>
    <col min="5638" max="5638" width="15.33203125" style="1762" customWidth="1"/>
    <col min="5639" max="5646" width="18.1640625" style="1762" customWidth="1"/>
    <col min="5647" max="5888" width="9" style="1762"/>
    <col min="5889" max="5889" width="2.5" style="1762" customWidth="1"/>
    <col min="5890" max="5890" width="2.83203125" style="1762" customWidth="1"/>
    <col min="5891" max="5891" width="21.6640625" style="1762" customWidth="1"/>
    <col min="5892" max="5892" width="3.5" style="1762" customWidth="1"/>
    <col min="5893" max="5893" width="5.6640625" style="1762" customWidth="1"/>
    <col min="5894" max="5894" width="15.33203125" style="1762" customWidth="1"/>
    <col min="5895" max="5902" width="18.1640625" style="1762" customWidth="1"/>
    <col min="5903" max="6144" width="9" style="1762"/>
    <col min="6145" max="6145" width="2.5" style="1762" customWidth="1"/>
    <col min="6146" max="6146" width="2.83203125" style="1762" customWidth="1"/>
    <col min="6147" max="6147" width="21.6640625" style="1762" customWidth="1"/>
    <col min="6148" max="6148" width="3.5" style="1762" customWidth="1"/>
    <col min="6149" max="6149" width="5.6640625" style="1762" customWidth="1"/>
    <col min="6150" max="6150" width="15.33203125" style="1762" customWidth="1"/>
    <col min="6151" max="6158" width="18.1640625" style="1762" customWidth="1"/>
    <col min="6159" max="6400" width="9" style="1762"/>
    <col min="6401" max="6401" width="2.5" style="1762" customWidth="1"/>
    <col min="6402" max="6402" width="2.83203125" style="1762" customWidth="1"/>
    <col min="6403" max="6403" width="21.6640625" style="1762" customWidth="1"/>
    <col min="6404" max="6404" width="3.5" style="1762" customWidth="1"/>
    <col min="6405" max="6405" width="5.6640625" style="1762" customWidth="1"/>
    <col min="6406" max="6406" width="15.33203125" style="1762" customWidth="1"/>
    <col min="6407" max="6414" width="18.1640625" style="1762" customWidth="1"/>
    <col min="6415" max="6656" width="9" style="1762"/>
    <col min="6657" max="6657" width="2.5" style="1762" customWidth="1"/>
    <col min="6658" max="6658" width="2.83203125" style="1762" customWidth="1"/>
    <col min="6659" max="6659" width="21.6640625" style="1762" customWidth="1"/>
    <col min="6660" max="6660" width="3.5" style="1762" customWidth="1"/>
    <col min="6661" max="6661" width="5.6640625" style="1762" customWidth="1"/>
    <col min="6662" max="6662" width="15.33203125" style="1762" customWidth="1"/>
    <col min="6663" max="6670" width="18.1640625" style="1762" customWidth="1"/>
    <col min="6671" max="6912" width="9" style="1762"/>
    <col min="6913" max="6913" width="2.5" style="1762" customWidth="1"/>
    <col min="6914" max="6914" width="2.83203125" style="1762" customWidth="1"/>
    <col min="6915" max="6915" width="21.6640625" style="1762" customWidth="1"/>
    <col min="6916" max="6916" width="3.5" style="1762" customWidth="1"/>
    <col min="6917" max="6917" width="5.6640625" style="1762" customWidth="1"/>
    <col min="6918" max="6918" width="15.33203125" style="1762" customWidth="1"/>
    <col min="6919" max="6926" width="18.1640625" style="1762" customWidth="1"/>
    <col min="6927" max="7168" width="9" style="1762"/>
    <col min="7169" max="7169" width="2.5" style="1762" customWidth="1"/>
    <col min="7170" max="7170" width="2.83203125" style="1762" customWidth="1"/>
    <col min="7171" max="7171" width="21.6640625" style="1762" customWidth="1"/>
    <col min="7172" max="7172" width="3.5" style="1762" customWidth="1"/>
    <col min="7173" max="7173" width="5.6640625" style="1762" customWidth="1"/>
    <col min="7174" max="7174" width="15.33203125" style="1762" customWidth="1"/>
    <col min="7175" max="7182" width="18.1640625" style="1762" customWidth="1"/>
    <col min="7183" max="7424" width="9" style="1762"/>
    <col min="7425" max="7425" width="2.5" style="1762" customWidth="1"/>
    <col min="7426" max="7426" width="2.83203125" style="1762" customWidth="1"/>
    <col min="7427" max="7427" width="21.6640625" style="1762" customWidth="1"/>
    <col min="7428" max="7428" width="3.5" style="1762" customWidth="1"/>
    <col min="7429" max="7429" width="5.6640625" style="1762" customWidth="1"/>
    <col min="7430" max="7430" width="15.33203125" style="1762" customWidth="1"/>
    <col min="7431" max="7438" width="18.1640625" style="1762" customWidth="1"/>
    <col min="7439" max="7680" width="9" style="1762"/>
    <col min="7681" max="7681" width="2.5" style="1762" customWidth="1"/>
    <col min="7682" max="7682" width="2.83203125" style="1762" customWidth="1"/>
    <col min="7683" max="7683" width="21.6640625" style="1762" customWidth="1"/>
    <col min="7684" max="7684" width="3.5" style="1762" customWidth="1"/>
    <col min="7685" max="7685" width="5.6640625" style="1762" customWidth="1"/>
    <col min="7686" max="7686" width="15.33203125" style="1762" customWidth="1"/>
    <col min="7687" max="7694" width="18.1640625" style="1762" customWidth="1"/>
    <col min="7695" max="7936" width="9" style="1762"/>
    <col min="7937" max="7937" width="2.5" style="1762" customWidth="1"/>
    <col min="7938" max="7938" width="2.83203125" style="1762" customWidth="1"/>
    <col min="7939" max="7939" width="21.6640625" style="1762" customWidth="1"/>
    <col min="7940" max="7940" width="3.5" style="1762" customWidth="1"/>
    <col min="7941" max="7941" width="5.6640625" style="1762" customWidth="1"/>
    <col min="7942" max="7942" width="15.33203125" style="1762" customWidth="1"/>
    <col min="7943" max="7950" width="18.1640625" style="1762" customWidth="1"/>
    <col min="7951" max="8192" width="9" style="1762"/>
    <col min="8193" max="8193" width="2.5" style="1762" customWidth="1"/>
    <col min="8194" max="8194" width="2.83203125" style="1762" customWidth="1"/>
    <col min="8195" max="8195" width="21.6640625" style="1762" customWidth="1"/>
    <col min="8196" max="8196" width="3.5" style="1762" customWidth="1"/>
    <col min="8197" max="8197" width="5.6640625" style="1762" customWidth="1"/>
    <col min="8198" max="8198" width="15.33203125" style="1762" customWidth="1"/>
    <col min="8199" max="8206" width="18.1640625" style="1762" customWidth="1"/>
    <col min="8207" max="8448" width="9" style="1762"/>
    <col min="8449" max="8449" width="2.5" style="1762" customWidth="1"/>
    <col min="8450" max="8450" width="2.83203125" style="1762" customWidth="1"/>
    <col min="8451" max="8451" width="21.6640625" style="1762" customWidth="1"/>
    <col min="8452" max="8452" width="3.5" style="1762" customWidth="1"/>
    <col min="8453" max="8453" width="5.6640625" style="1762" customWidth="1"/>
    <col min="8454" max="8454" width="15.33203125" style="1762" customWidth="1"/>
    <col min="8455" max="8462" width="18.1640625" style="1762" customWidth="1"/>
    <col min="8463" max="8704" width="9" style="1762"/>
    <col min="8705" max="8705" width="2.5" style="1762" customWidth="1"/>
    <col min="8706" max="8706" width="2.83203125" style="1762" customWidth="1"/>
    <col min="8707" max="8707" width="21.6640625" style="1762" customWidth="1"/>
    <col min="8708" max="8708" width="3.5" style="1762" customWidth="1"/>
    <col min="8709" max="8709" width="5.6640625" style="1762" customWidth="1"/>
    <col min="8710" max="8710" width="15.33203125" style="1762" customWidth="1"/>
    <col min="8711" max="8718" width="18.1640625" style="1762" customWidth="1"/>
    <col min="8719" max="8960" width="9" style="1762"/>
    <col min="8961" max="8961" width="2.5" style="1762" customWidth="1"/>
    <col min="8962" max="8962" width="2.83203125" style="1762" customWidth="1"/>
    <col min="8963" max="8963" width="21.6640625" style="1762" customWidth="1"/>
    <col min="8964" max="8964" width="3.5" style="1762" customWidth="1"/>
    <col min="8965" max="8965" width="5.6640625" style="1762" customWidth="1"/>
    <col min="8966" max="8966" width="15.33203125" style="1762" customWidth="1"/>
    <col min="8967" max="8974" width="18.1640625" style="1762" customWidth="1"/>
    <col min="8975" max="9216" width="9" style="1762"/>
    <col min="9217" max="9217" width="2.5" style="1762" customWidth="1"/>
    <col min="9218" max="9218" width="2.83203125" style="1762" customWidth="1"/>
    <col min="9219" max="9219" width="21.6640625" style="1762" customWidth="1"/>
    <col min="9220" max="9220" width="3.5" style="1762" customWidth="1"/>
    <col min="9221" max="9221" width="5.6640625" style="1762" customWidth="1"/>
    <col min="9222" max="9222" width="15.33203125" style="1762" customWidth="1"/>
    <col min="9223" max="9230" width="18.1640625" style="1762" customWidth="1"/>
    <col min="9231" max="9472" width="9" style="1762"/>
    <col min="9473" max="9473" width="2.5" style="1762" customWidth="1"/>
    <col min="9474" max="9474" width="2.83203125" style="1762" customWidth="1"/>
    <col min="9475" max="9475" width="21.6640625" style="1762" customWidth="1"/>
    <col min="9476" max="9476" width="3.5" style="1762" customWidth="1"/>
    <col min="9477" max="9477" width="5.6640625" style="1762" customWidth="1"/>
    <col min="9478" max="9478" width="15.33203125" style="1762" customWidth="1"/>
    <col min="9479" max="9486" width="18.1640625" style="1762" customWidth="1"/>
    <col min="9487" max="9728" width="9" style="1762"/>
    <col min="9729" max="9729" width="2.5" style="1762" customWidth="1"/>
    <col min="9730" max="9730" width="2.83203125" style="1762" customWidth="1"/>
    <col min="9731" max="9731" width="21.6640625" style="1762" customWidth="1"/>
    <col min="9732" max="9732" width="3.5" style="1762" customWidth="1"/>
    <col min="9733" max="9733" width="5.6640625" style="1762" customWidth="1"/>
    <col min="9734" max="9734" width="15.33203125" style="1762" customWidth="1"/>
    <col min="9735" max="9742" width="18.1640625" style="1762" customWidth="1"/>
    <col min="9743" max="9984" width="9" style="1762"/>
    <col min="9985" max="9985" width="2.5" style="1762" customWidth="1"/>
    <col min="9986" max="9986" width="2.83203125" style="1762" customWidth="1"/>
    <col min="9987" max="9987" width="21.6640625" style="1762" customWidth="1"/>
    <col min="9988" max="9988" width="3.5" style="1762" customWidth="1"/>
    <col min="9989" max="9989" width="5.6640625" style="1762" customWidth="1"/>
    <col min="9990" max="9990" width="15.33203125" style="1762" customWidth="1"/>
    <col min="9991" max="9998" width="18.1640625" style="1762" customWidth="1"/>
    <col min="9999" max="10240" width="9" style="1762"/>
    <col min="10241" max="10241" width="2.5" style="1762" customWidth="1"/>
    <col min="10242" max="10242" width="2.83203125" style="1762" customWidth="1"/>
    <col min="10243" max="10243" width="21.6640625" style="1762" customWidth="1"/>
    <col min="10244" max="10244" width="3.5" style="1762" customWidth="1"/>
    <col min="10245" max="10245" width="5.6640625" style="1762" customWidth="1"/>
    <col min="10246" max="10246" width="15.33203125" style="1762" customWidth="1"/>
    <col min="10247" max="10254" width="18.1640625" style="1762" customWidth="1"/>
    <col min="10255" max="10496" width="9" style="1762"/>
    <col min="10497" max="10497" width="2.5" style="1762" customWidth="1"/>
    <col min="10498" max="10498" width="2.83203125" style="1762" customWidth="1"/>
    <col min="10499" max="10499" width="21.6640625" style="1762" customWidth="1"/>
    <col min="10500" max="10500" width="3.5" style="1762" customWidth="1"/>
    <col min="10501" max="10501" width="5.6640625" style="1762" customWidth="1"/>
    <col min="10502" max="10502" width="15.33203125" style="1762" customWidth="1"/>
    <col min="10503" max="10510" width="18.1640625" style="1762" customWidth="1"/>
    <col min="10511" max="10752" width="9" style="1762"/>
    <col min="10753" max="10753" width="2.5" style="1762" customWidth="1"/>
    <col min="10754" max="10754" width="2.83203125" style="1762" customWidth="1"/>
    <col min="10755" max="10755" width="21.6640625" style="1762" customWidth="1"/>
    <col min="10756" max="10756" width="3.5" style="1762" customWidth="1"/>
    <col min="10757" max="10757" width="5.6640625" style="1762" customWidth="1"/>
    <col min="10758" max="10758" width="15.33203125" style="1762" customWidth="1"/>
    <col min="10759" max="10766" width="18.1640625" style="1762" customWidth="1"/>
    <col min="10767" max="11008" width="9" style="1762"/>
    <col min="11009" max="11009" width="2.5" style="1762" customWidth="1"/>
    <col min="11010" max="11010" width="2.83203125" style="1762" customWidth="1"/>
    <col min="11011" max="11011" width="21.6640625" style="1762" customWidth="1"/>
    <col min="11012" max="11012" width="3.5" style="1762" customWidth="1"/>
    <col min="11013" max="11013" width="5.6640625" style="1762" customWidth="1"/>
    <col min="11014" max="11014" width="15.33203125" style="1762" customWidth="1"/>
    <col min="11015" max="11022" width="18.1640625" style="1762" customWidth="1"/>
    <col min="11023" max="11264" width="9" style="1762"/>
    <col min="11265" max="11265" width="2.5" style="1762" customWidth="1"/>
    <col min="11266" max="11266" width="2.83203125" style="1762" customWidth="1"/>
    <col min="11267" max="11267" width="21.6640625" style="1762" customWidth="1"/>
    <col min="11268" max="11268" width="3.5" style="1762" customWidth="1"/>
    <col min="11269" max="11269" width="5.6640625" style="1762" customWidth="1"/>
    <col min="11270" max="11270" width="15.33203125" style="1762" customWidth="1"/>
    <col min="11271" max="11278" width="18.1640625" style="1762" customWidth="1"/>
    <col min="11279" max="11520" width="9" style="1762"/>
    <col min="11521" max="11521" width="2.5" style="1762" customWidth="1"/>
    <col min="11522" max="11522" width="2.83203125" style="1762" customWidth="1"/>
    <col min="11523" max="11523" width="21.6640625" style="1762" customWidth="1"/>
    <col min="11524" max="11524" width="3.5" style="1762" customWidth="1"/>
    <col min="11525" max="11525" width="5.6640625" style="1762" customWidth="1"/>
    <col min="11526" max="11526" width="15.33203125" style="1762" customWidth="1"/>
    <col min="11527" max="11534" width="18.1640625" style="1762" customWidth="1"/>
    <col min="11535" max="11776" width="9" style="1762"/>
    <col min="11777" max="11777" width="2.5" style="1762" customWidth="1"/>
    <col min="11778" max="11778" width="2.83203125" style="1762" customWidth="1"/>
    <col min="11779" max="11779" width="21.6640625" style="1762" customWidth="1"/>
    <col min="11780" max="11780" width="3.5" style="1762" customWidth="1"/>
    <col min="11781" max="11781" width="5.6640625" style="1762" customWidth="1"/>
    <col min="11782" max="11782" width="15.33203125" style="1762" customWidth="1"/>
    <col min="11783" max="11790" width="18.1640625" style="1762" customWidth="1"/>
    <col min="11791" max="12032" width="9" style="1762"/>
    <col min="12033" max="12033" width="2.5" style="1762" customWidth="1"/>
    <col min="12034" max="12034" width="2.83203125" style="1762" customWidth="1"/>
    <col min="12035" max="12035" width="21.6640625" style="1762" customWidth="1"/>
    <col min="12036" max="12036" width="3.5" style="1762" customWidth="1"/>
    <col min="12037" max="12037" width="5.6640625" style="1762" customWidth="1"/>
    <col min="12038" max="12038" width="15.33203125" style="1762" customWidth="1"/>
    <col min="12039" max="12046" width="18.1640625" style="1762" customWidth="1"/>
    <col min="12047" max="12288" width="9" style="1762"/>
    <col min="12289" max="12289" width="2.5" style="1762" customWidth="1"/>
    <col min="12290" max="12290" width="2.83203125" style="1762" customWidth="1"/>
    <col min="12291" max="12291" width="21.6640625" style="1762" customWidth="1"/>
    <col min="12292" max="12292" width="3.5" style="1762" customWidth="1"/>
    <col min="12293" max="12293" width="5.6640625" style="1762" customWidth="1"/>
    <col min="12294" max="12294" width="15.33203125" style="1762" customWidth="1"/>
    <col min="12295" max="12302" width="18.1640625" style="1762" customWidth="1"/>
    <col min="12303" max="12544" width="9" style="1762"/>
    <col min="12545" max="12545" width="2.5" style="1762" customWidth="1"/>
    <col min="12546" max="12546" width="2.83203125" style="1762" customWidth="1"/>
    <col min="12547" max="12547" width="21.6640625" style="1762" customWidth="1"/>
    <col min="12548" max="12548" width="3.5" style="1762" customWidth="1"/>
    <col min="12549" max="12549" width="5.6640625" style="1762" customWidth="1"/>
    <col min="12550" max="12550" width="15.33203125" style="1762" customWidth="1"/>
    <col min="12551" max="12558" width="18.1640625" style="1762" customWidth="1"/>
    <col min="12559" max="12800" width="9" style="1762"/>
    <col min="12801" max="12801" width="2.5" style="1762" customWidth="1"/>
    <col min="12802" max="12802" width="2.83203125" style="1762" customWidth="1"/>
    <col min="12803" max="12803" width="21.6640625" style="1762" customWidth="1"/>
    <col min="12804" max="12804" width="3.5" style="1762" customWidth="1"/>
    <col min="12805" max="12805" width="5.6640625" style="1762" customWidth="1"/>
    <col min="12806" max="12806" width="15.33203125" style="1762" customWidth="1"/>
    <col min="12807" max="12814" width="18.1640625" style="1762" customWidth="1"/>
    <col min="12815" max="13056" width="9" style="1762"/>
    <col min="13057" max="13057" width="2.5" style="1762" customWidth="1"/>
    <col min="13058" max="13058" width="2.83203125" style="1762" customWidth="1"/>
    <col min="13059" max="13059" width="21.6640625" style="1762" customWidth="1"/>
    <col min="13060" max="13060" width="3.5" style="1762" customWidth="1"/>
    <col min="13061" max="13061" width="5.6640625" style="1762" customWidth="1"/>
    <col min="13062" max="13062" width="15.33203125" style="1762" customWidth="1"/>
    <col min="13063" max="13070" width="18.1640625" style="1762" customWidth="1"/>
    <col min="13071" max="13312" width="9" style="1762"/>
    <col min="13313" max="13313" width="2.5" style="1762" customWidth="1"/>
    <col min="13314" max="13314" width="2.83203125" style="1762" customWidth="1"/>
    <col min="13315" max="13315" width="21.6640625" style="1762" customWidth="1"/>
    <col min="13316" max="13316" width="3.5" style="1762" customWidth="1"/>
    <col min="13317" max="13317" width="5.6640625" style="1762" customWidth="1"/>
    <col min="13318" max="13318" width="15.33203125" style="1762" customWidth="1"/>
    <col min="13319" max="13326" width="18.1640625" style="1762" customWidth="1"/>
    <col min="13327" max="13568" width="9" style="1762"/>
    <col min="13569" max="13569" width="2.5" style="1762" customWidth="1"/>
    <col min="13570" max="13570" width="2.83203125" style="1762" customWidth="1"/>
    <col min="13571" max="13571" width="21.6640625" style="1762" customWidth="1"/>
    <col min="13572" max="13572" width="3.5" style="1762" customWidth="1"/>
    <col min="13573" max="13573" width="5.6640625" style="1762" customWidth="1"/>
    <col min="13574" max="13574" width="15.33203125" style="1762" customWidth="1"/>
    <col min="13575" max="13582" width="18.1640625" style="1762" customWidth="1"/>
    <col min="13583" max="13824" width="9" style="1762"/>
    <col min="13825" max="13825" width="2.5" style="1762" customWidth="1"/>
    <col min="13826" max="13826" width="2.83203125" style="1762" customWidth="1"/>
    <col min="13827" max="13827" width="21.6640625" style="1762" customWidth="1"/>
    <col min="13828" max="13828" width="3.5" style="1762" customWidth="1"/>
    <col min="13829" max="13829" width="5.6640625" style="1762" customWidth="1"/>
    <col min="13830" max="13830" width="15.33203125" style="1762" customWidth="1"/>
    <col min="13831" max="13838" width="18.1640625" style="1762" customWidth="1"/>
    <col min="13839" max="14080" width="9" style="1762"/>
    <col min="14081" max="14081" width="2.5" style="1762" customWidth="1"/>
    <col min="14082" max="14082" width="2.83203125" style="1762" customWidth="1"/>
    <col min="14083" max="14083" width="21.6640625" style="1762" customWidth="1"/>
    <col min="14084" max="14084" width="3.5" style="1762" customWidth="1"/>
    <col min="14085" max="14085" width="5.6640625" style="1762" customWidth="1"/>
    <col min="14086" max="14086" width="15.33203125" style="1762" customWidth="1"/>
    <col min="14087" max="14094" width="18.1640625" style="1762" customWidth="1"/>
    <col min="14095" max="14336" width="9" style="1762"/>
    <col min="14337" max="14337" width="2.5" style="1762" customWidth="1"/>
    <col min="14338" max="14338" width="2.83203125" style="1762" customWidth="1"/>
    <col min="14339" max="14339" width="21.6640625" style="1762" customWidth="1"/>
    <col min="14340" max="14340" width="3.5" style="1762" customWidth="1"/>
    <col min="14341" max="14341" width="5.6640625" style="1762" customWidth="1"/>
    <col min="14342" max="14342" width="15.33203125" style="1762" customWidth="1"/>
    <col min="14343" max="14350" width="18.1640625" style="1762" customWidth="1"/>
    <col min="14351" max="14592" width="9" style="1762"/>
    <col min="14593" max="14593" width="2.5" style="1762" customWidth="1"/>
    <col min="14594" max="14594" width="2.83203125" style="1762" customWidth="1"/>
    <col min="14595" max="14595" width="21.6640625" style="1762" customWidth="1"/>
    <col min="14596" max="14596" width="3.5" style="1762" customWidth="1"/>
    <col min="14597" max="14597" width="5.6640625" style="1762" customWidth="1"/>
    <col min="14598" max="14598" width="15.33203125" style="1762" customWidth="1"/>
    <col min="14599" max="14606" width="18.1640625" style="1762" customWidth="1"/>
    <col min="14607" max="14848" width="9" style="1762"/>
    <col min="14849" max="14849" width="2.5" style="1762" customWidth="1"/>
    <col min="14850" max="14850" width="2.83203125" style="1762" customWidth="1"/>
    <col min="14851" max="14851" width="21.6640625" style="1762" customWidth="1"/>
    <col min="14852" max="14852" width="3.5" style="1762" customWidth="1"/>
    <col min="14853" max="14853" width="5.6640625" style="1762" customWidth="1"/>
    <col min="14854" max="14854" width="15.33203125" style="1762" customWidth="1"/>
    <col min="14855" max="14862" width="18.1640625" style="1762" customWidth="1"/>
    <col min="14863" max="15104" width="9" style="1762"/>
    <col min="15105" max="15105" width="2.5" style="1762" customWidth="1"/>
    <col min="15106" max="15106" width="2.83203125" style="1762" customWidth="1"/>
    <col min="15107" max="15107" width="21.6640625" style="1762" customWidth="1"/>
    <col min="15108" max="15108" width="3.5" style="1762" customWidth="1"/>
    <col min="15109" max="15109" width="5.6640625" style="1762" customWidth="1"/>
    <col min="15110" max="15110" width="15.33203125" style="1762" customWidth="1"/>
    <col min="15111" max="15118" width="18.1640625" style="1762" customWidth="1"/>
    <col min="15119" max="15360" width="9" style="1762"/>
    <col min="15361" max="15361" width="2.5" style="1762" customWidth="1"/>
    <col min="15362" max="15362" width="2.83203125" style="1762" customWidth="1"/>
    <col min="15363" max="15363" width="21.6640625" style="1762" customWidth="1"/>
    <col min="15364" max="15364" width="3.5" style="1762" customWidth="1"/>
    <col min="15365" max="15365" width="5.6640625" style="1762" customWidth="1"/>
    <col min="15366" max="15366" width="15.33203125" style="1762" customWidth="1"/>
    <col min="15367" max="15374" width="18.1640625" style="1762" customWidth="1"/>
    <col min="15375" max="15616" width="9" style="1762"/>
    <col min="15617" max="15617" width="2.5" style="1762" customWidth="1"/>
    <col min="15618" max="15618" width="2.83203125" style="1762" customWidth="1"/>
    <col min="15619" max="15619" width="21.6640625" style="1762" customWidth="1"/>
    <col min="15620" max="15620" width="3.5" style="1762" customWidth="1"/>
    <col min="15621" max="15621" width="5.6640625" style="1762" customWidth="1"/>
    <col min="15622" max="15622" width="15.33203125" style="1762" customWidth="1"/>
    <col min="15623" max="15630" width="18.1640625" style="1762" customWidth="1"/>
    <col min="15631" max="15872" width="9" style="1762"/>
    <col min="15873" max="15873" width="2.5" style="1762" customWidth="1"/>
    <col min="15874" max="15874" width="2.83203125" style="1762" customWidth="1"/>
    <col min="15875" max="15875" width="21.6640625" style="1762" customWidth="1"/>
    <col min="15876" max="15876" width="3.5" style="1762" customWidth="1"/>
    <col min="15877" max="15877" width="5.6640625" style="1762" customWidth="1"/>
    <col min="15878" max="15878" width="15.33203125" style="1762" customWidth="1"/>
    <col min="15879" max="15886" width="18.1640625" style="1762" customWidth="1"/>
    <col min="15887" max="16128" width="9" style="1762"/>
    <col min="16129" max="16129" width="2.5" style="1762" customWidth="1"/>
    <col min="16130" max="16130" width="2.83203125" style="1762" customWidth="1"/>
    <col min="16131" max="16131" width="21.6640625" style="1762" customWidth="1"/>
    <col min="16132" max="16132" width="3.5" style="1762" customWidth="1"/>
    <col min="16133" max="16133" width="5.6640625" style="1762" customWidth="1"/>
    <col min="16134" max="16134" width="15.33203125" style="1762" customWidth="1"/>
    <col min="16135" max="16142" width="18.1640625" style="1762" customWidth="1"/>
    <col min="16143" max="16384" width="9" style="1762"/>
  </cols>
  <sheetData>
    <row r="1" spans="1:256" s="1712" customFormat="1" ht="18">
      <c r="A1" s="1705"/>
      <c r="B1" s="1705"/>
      <c r="C1" s="1706"/>
      <c r="D1" s="1706"/>
      <c r="E1" s="1707" t="s">
        <v>2501</v>
      </c>
      <c r="F1" s="1708"/>
      <c r="G1" s="1709"/>
      <c r="H1" s="1709"/>
      <c r="I1" s="1709"/>
      <c r="J1" s="1709"/>
      <c r="K1" s="1709"/>
      <c r="L1" s="1709"/>
      <c r="M1" s="1710">
        <v>20190116</v>
      </c>
      <c r="N1" s="1711" t="s">
        <v>2718</v>
      </c>
      <c r="IA1" s="1713"/>
      <c r="IB1" s="1713"/>
      <c r="IC1" s="1713"/>
      <c r="ID1" s="1713"/>
      <c r="IE1" s="1713"/>
      <c r="IF1" s="1713"/>
      <c r="IG1" s="1713"/>
      <c r="IH1" s="1713"/>
      <c r="II1" s="1713"/>
      <c r="IJ1" s="1713"/>
      <c r="IK1" s="1713"/>
      <c r="IL1" s="1713"/>
      <c r="IM1" s="1713"/>
      <c r="IN1" s="1713"/>
      <c r="IO1" s="1713"/>
      <c r="IP1" s="1713"/>
      <c r="IQ1" s="1713"/>
      <c r="IR1" s="1713"/>
      <c r="IS1" s="1713"/>
      <c r="IT1" s="1713"/>
      <c r="IU1" s="1713"/>
      <c r="IV1" s="1713"/>
    </row>
    <row r="2" spans="1:256" s="1712" customFormat="1" ht="16">
      <c r="A2" s="1705"/>
      <c r="B2" s="1705"/>
      <c r="C2" s="2949" t="s">
        <v>2503</v>
      </c>
      <c r="D2" s="2950"/>
      <c r="E2" s="2950"/>
      <c r="F2" s="1705" t="s">
        <v>2504</v>
      </c>
      <c r="G2" s="1714"/>
      <c r="H2" s="1715"/>
      <c r="I2" s="1715"/>
      <c r="J2" s="1715"/>
      <c r="K2" s="1715"/>
      <c r="L2" s="1715"/>
      <c r="M2" s="1705"/>
      <c r="N2" s="1715" t="s">
        <v>246</v>
      </c>
      <c r="IA2" s="1713"/>
      <c r="IB2" s="1713"/>
      <c r="IC2" s="1713"/>
      <c r="ID2" s="1713"/>
      <c r="IE2" s="1713"/>
      <c r="IF2" s="1713"/>
      <c r="IG2" s="1713"/>
      <c r="IH2" s="1713"/>
      <c r="II2" s="1713"/>
      <c r="IJ2" s="1713"/>
      <c r="IK2" s="1713"/>
      <c r="IL2" s="1713"/>
      <c r="IM2" s="1713"/>
      <c r="IN2" s="1713"/>
      <c r="IO2" s="1713"/>
      <c r="IP2" s="1713"/>
      <c r="IQ2" s="1713"/>
      <c r="IR2" s="1713"/>
      <c r="IS2" s="1713"/>
      <c r="IT2" s="1713"/>
      <c r="IU2" s="1713"/>
      <c r="IV2" s="1713"/>
    </row>
    <row r="3" spans="1:256" s="1712" customFormat="1" ht="16">
      <c r="A3" s="1716"/>
      <c r="B3" s="1717"/>
      <c r="C3" s="1718"/>
      <c r="D3" s="1719"/>
      <c r="E3" s="1720"/>
      <c r="F3" s="1721" t="s">
        <v>2823</v>
      </c>
      <c r="G3" s="1722"/>
      <c r="H3" s="1722"/>
      <c r="I3" s="1722"/>
      <c r="J3" s="1722"/>
      <c r="K3" s="1722"/>
      <c r="L3" s="1722"/>
      <c r="M3" s="1722"/>
      <c r="N3" s="1723"/>
      <c r="IA3" s="1713"/>
      <c r="IB3" s="1713"/>
      <c r="IC3" s="1713"/>
      <c r="ID3" s="1713"/>
      <c r="IE3" s="1713"/>
      <c r="IF3" s="1713"/>
      <c r="IG3" s="1713"/>
      <c r="IH3" s="1713"/>
      <c r="II3" s="1713"/>
      <c r="IJ3" s="1713"/>
      <c r="IK3" s="1713"/>
      <c r="IL3" s="1713"/>
      <c r="IM3" s="1713"/>
      <c r="IN3" s="1713"/>
      <c r="IO3" s="1713"/>
      <c r="IP3" s="1713"/>
      <c r="IQ3" s="1713"/>
      <c r="IR3" s="1713"/>
      <c r="IS3" s="1713"/>
      <c r="IT3" s="1713"/>
      <c r="IU3" s="1713"/>
      <c r="IV3" s="1713"/>
    </row>
    <row r="4" spans="1:256" s="1712" customFormat="1" ht="16">
      <c r="A4" s="1716"/>
      <c r="B4" s="2951" t="s">
        <v>2506</v>
      </c>
      <c r="C4" s="2952"/>
      <c r="D4" s="2952"/>
      <c r="E4" s="1720"/>
      <c r="F4" s="1724">
        <f>SUM(G4:N4)</f>
        <v>0</v>
      </c>
      <c r="G4" s="1725">
        <f>G81</f>
        <v>0</v>
      </c>
      <c r="H4" s="1726">
        <f t="shared" ref="G4:N5" si="0">H81</f>
        <v>0</v>
      </c>
      <c r="I4" s="1726">
        <f t="shared" si="0"/>
        <v>0</v>
      </c>
      <c r="J4" s="1726">
        <f>J81</f>
        <v>0</v>
      </c>
      <c r="K4" s="1726">
        <f>K81</f>
        <v>0</v>
      </c>
      <c r="L4" s="1726">
        <f t="shared" si="0"/>
        <v>0</v>
      </c>
      <c r="M4" s="1724">
        <f t="shared" si="0"/>
        <v>0</v>
      </c>
      <c r="N4" s="1727">
        <f t="shared" si="0"/>
        <v>0</v>
      </c>
      <c r="IA4" s="1713"/>
      <c r="IB4" s="1713"/>
      <c r="IC4" s="1713"/>
      <c r="ID4" s="1713"/>
      <c r="IE4" s="1713"/>
      <c r="IF4" s="1713"/>
      <c r="IG4" s="1713"/>
      <c r="IH4" s="1713"/>
      <c r="II4" s="1713"/>
      <c r="IJ4" s="1713"/>
      <c r="IK4" s="1713"/>
      <c r="IL4" s="1713"/>
      <c r="IM4" s="1713"/>
      <c r="IN4" s="1713"/>
      <c r="IO4" s="1713"/>
      <c r="IP4" s="1713"/>
      <c r="IQ4" s="1713"/>
      <c r="IR4" s="1713"/>
      <c r="IS4" s="1713"/>
      <c r="IT4" s="1713"/>
      <c r="IU4" s="1713"/>
      <c r="IV4" s="1713"/>
    </row>
    <row r="5" spans="1:256" s="1712" customFormat="1" ht="16">
      <c r="A5" s="1728"/>
      <c r="B5" s="2953" t="s">
        <v>2507</v>
      </c>
      <c r="C5" s="2954"/>
      <c r="D5" s="2954"/>
      <c r="E5" s="1729"/>
      <c r="F5" s="1730">
        <f>SUM(G5:N5)</f>
        <v>0</v>
      </c>
      <c r="G5" s="1731">
        <f t="shared" si="0"/>
        <v>0</v>
      </c>
      <c r="H5" s="1732">
        <f t="shared" si="0"/>
        <v>0</v>
      </c>
      <c r="I5" s="1732">
        <f t="shared" si="0"/>
        <v>0</v>
      </c>
      <c r="J5" s="1732">
        <f>J82</f>
        <v>0</v>
      </c>
      <c r="K5" s="1732">
        <f>K82</f>
        <v>0</v>
      </c>
      <c r="L5" s="1732">
        <f t="shared" si="0"/>
        <v>0</v>
      </c>
      <c r="M5" s="1730">
        <f t="shared" si="0"/>
        <v>0</v>
      </c>
      <c r="N5" s="1733">
        <f t="shared" si="0"/>
        <v>0</v>
      </c>
      <c r="IA5" s="1713"/>
      <c r="IB5" s="1713"/>
      <c r="IC5" s="1713"/>
      <c r="ID5" s="1713"/>
      <c r="IE5" s="1713"/>
      <c r="IF5" s="1713"/>
      <c r="IG5" s="1713"/>
      <c r="IH5" s="1713"/>
      <c r="II5" s="1713"/>
      <c r="IJ5" s="1713"/>
      <c r="IK5" s="1713"/>
      <c r="IL5" s="1713"/>
      <c r="IM5" s="1713"/>
      <c r="IN5" s="1713"/>
      <c r="IO5" s="1713"/>
      <c r="IP5" s="1713"/>
      <c r="IQ5" s="1713"/>
      <c r="IR5" s="1713"/>
      <c r="IS5" s="1713"/>
      <c r="IT5" s="1713"/>
      <c r="IU5" s="1713"/>
      <c r="IV5" s="1713"/>
    </row>
    <row r="6" spans="1:256" s="1712" customFormat="1" ht="16">
      <c r="A6" s="1734"/>
      <c r="B6" s="2955" t="s">
        <v>234</v>
      </c>
      <c r="C6" s="2956"/>
      <c r="D6" s="2956"/>
      <c r="E6" s="1735"/>
      <c r="F6" s="1736">
        <f>SUM(G6:N6)</f>
        <v>0</v>
      </c>
      <c r="G6" s="1737">
        <f t="shared" ref="G6:N6" si="1">G80</f>
        <v>0</v>
      </c>
      <c r="H6" s="1738">
        <f t="shared" si="1"/>
        <v>0</v>
      </c>
      <c r="I6" s="1738">
        <f t="shared" si="1"/>
        <v>0</v>
      </c>
      <c r="J6" s="1738">
        <f>J80</f>
        <v>0</v>
      </c>
      <c r="K6" s="1738">
        <f>K80</f>
        <v>0</v>
      </c>
      <c r="L6" s="1738">
        <f t="shared" si="1"/>
        <v>0</v>
      </c>
      <c r="M6" s="1736">
        <f t="shared" si="1"/>
        <v>0</v>
      </c>
      <c r="N6" s="1739">
        <f t="shared" si="1"/>
        <v>0</v>
      </c>
      <c r="IA6" s="1713"/>
      <c r="IB6" s="1713"/>
      <c r="IC6" s="1713"/>
      <c r="ID6" s="1713"/>
      <c r="IE6" s="1713"/>
      <c r="IF6" s="1713"/>
      <c r="IG6" s="1713"/>
      <c r="IH6" s="1713"/>
      <c r="II6" s="1713"/>
      <c r="IJ6" s="1713"/>
      <c r="IK6" s="1713"/>
      <c r="IL6" s="1713"/>
      <c r="IM6" s="1713"/>
      <c r="IN6" s="1713"/>
      <c r="IO6" s="1713"/>
      <c r="IP6" s="1713"/>
      <c r="IQ6" s="1713"/>
      <c r="IR6" s="1713"/>
      <c r="IS6" s="1713"/>
      <c r="IT6" s="1713"/>
      <c r="IU6" s="1713"/>
      <c r="IV6" s="1713"/>
    </row>
    <row r="7" spans="1:256" s="1712" customFormat="1" ht="16">
      <c r="A7" s="1728"/>
      <c r="B7" s="1740"/>
      <c r="C7" s="1741"/>
      <c r="D7" s="1742"/>
      <c r="E7" s="1743"/>
      <c r="F7" s="1744"/>
      <c r="G7" s="1745" t="s">
        <v>2508</v>
      </c>
      <c r="H7" s="1746"/>
      <c r="I7" s="1747"/>
      <c r="J7" s="1747"/>
      <c r="K7" s="1747"/>
      <c r="L7" s="1747"/>
      <c r="M7" s="1747"/>
      <c r="N7" s="1748" t="s">
        <v>2509</v>
      </c>
      <c r="IA7" s="1713"/>
      <c r="IB7" s="1713"/>
      <c r="IC7" s="1713"/>
      <c r="ID7" s="1713"/>
      <c r="IE7" s="1713"/>
      <c r="IF7" s="1713"/>
      <c r="IG7" s="1713"/>
      <c r="IH7" s="1713"/>
      <c r="II7" s="1713"/>
      <c r="IJ7" s="1713"/>
      <c r="IK7" s="1713"/>
      <c r="IL7" s="1713"/>
      <c r="IM7" s="1713"/>
      <c r="IN7" s="1713"/>
      <c r="IO7" s="1713"/>
      <c r="IP7" s="1713"/>
      <c r="IQ7" s="1713"/>
      <c r="IR7" s="1713"/>
      <c r="IS7" s="1713"/>
      <c r="IT7" s="1713"/>
      <c r="IU7" s="1713"/>
      <c r="IV7" s="1713"/>
    </row>
    <row r="8" spans="1:256" s="1712" customFormat="1" ht="16">
      <c r="A8" s="1749"/>
      <c r="B8" s="1750"/>
      <c r="C8" s="1751" t="s">
        <v>2510</v>
      </c>
      <c r="D8" s="2957" t="s">
        <v>2824</v>
      </c>
      <c r="E8" s="2957"/>
      <c r="F8" s="2958"/>
      <c r="G8" s="1752" t="str">
        <f>IF(G87="","",G87)</f>
        <v/>
      </c>
      <c r="H8" s="1752" t="str">
        <f t="shared" ref="H8:N9" si="2">IF(H87="","",H87)</f>
        <v/>
      </c>
      <c r="I8" s="1752" t="str">
        <f t="shared" si="2"/>
        <v/>
      </c>
      <c r="J8" s="1752" t="str">
        <f t="shared" si="2"/>
        <v/>
      </c>
      <c r="K8" s="1752" t="str">
        <f t="shared" si="2"/>
        <v/>
      </c>
      <c r="L8" s="1752" t="str">
        <f t="shared" si="2"/>
        <v/>
      </c>
      <c r="M8" s="1752" t="str">
        <f t="shared" si="2"/>
        <v/>
      </c>
      <c r="N8" s="1753" t="str">
        <f t="shared" si="2"/>
        <v/>
      </c>
      <c r="IA8" s="1713"/>
      <c r="IB8" s="1713"/>
      <c r="IC8" s="1713"/>
      <c r="ID8" s="1713"/>
      <c r="IE8" s="1713"/>
      <c r="IF8" s="1713"/>
      <c r="IG8" s="1713"/>
      <c r="IH8" s="1713"/>
      <c r="II8" s="1713"/>
      <c r="IJ8" s="1713"/>
      <c r="IK8" s="1713"/>
      <c r="IL8" s="1713"/>
      <c r="IM8" s="1713"/>
      <c r="IN8" s="1713"/>
      <c r="IO8" s="1713"/>
      <c r="IP8" s="1713"/>
      <c r="IQ8" s="1713"/>
      <c r="IR8" s="1713"/>
      <c r="IS8" s="1713"/>
      <c r="IT8" s="1713"/>
      <c r="IU8" s="1713"/>
      <c r="IV8" s="1713"/>
    </row>
    <row r="9" spans="1:256" s="1712" customFormat="1" ht="16">
      <c r="A9" s="1754"/>
      <c r="B9" s="1755"/>
      <c r="C9" s="1756" t="s">
        <v>2512</v>
      </c>
      <c r="D9" s="2959" t="s">
        <v>2825</v>
      </c>
      <c r="E9" s="2959"/>
      <c r="F9" s="2960"/>
      <c r="G9" s="1757" t="str">
        <f>IF(G88="","",G88)</f>
        <v>改修</v>
      </c>
      <c r="H9" s="1757" t="str">
        <f t="shared" si="2"/>
        <v/>
      </c>
      <c r="I9" s="1757" t="str">
        <f t="shared" si="2"/>
        <v/>
      </c>
      <c r="J9" s="1757" t="str">
        <f t="shared" si="2"/>
        <v/>
      </c>
      <c r="K9" s="1757" t="str">
        <f t="shared" si="2"/>
        <v/>
      </c>
      <c r="L9" s="1757" t="str">
        <f t="shared" si="2"/>
        <v/>
      </c>
      <c r="M9" s="1757" t="str">
        <f t="shared" si="2"/>
        <v/>
      </c>
      <c r="N9" s="1758" t="str">
        <f t="shared" si="2"/>
        <v/>
      </c>
      <c r="IA9" s="1713"/>
      <c r="IB9" s="1713"/>
      <c r="IC9" s="1713"/>
      <c r="ID9" s="1713"/>
      <c r="IE9" s="1713"/>
      <c r="IF9" s="1713"/>
      <c r="IG9" s="1713"/>
      <c r="IH9" s="1713"/>
      <c r="II9" s="1713"/>
      <c r="IJ9" s="1713"/>
      <c r="IK9" s="1713"/>
      <c r="IL9" s="1713"/>
      <c r="IM9" s="1713"/>
      <c r="IN9" s="1713"/>
      <c r="IO9" s="1713"/>
      <c r="IP9" s="1713"/>
      <c r="IQ9" s="1713"/>
      <c r="IR9" s="1713"/>
      <c r="IS9" s="1713"/>
      <c r="IT9" s="1713"/>
      <c r="IU9" s="1713"/>
      <c r="IV9" s="1713"/>
    </row>
    <row r="10" spans="1:256" ht="13.5" customHeight="1">
      <c r="A10" s="1759"/>
      <c r="B10" s="1740"/>
      <c r="C10" s="2938" t="s">
        <v>2826</v>
      </c>
      <c r="D10" s="2938"/>
      <c r="E10" s="2938"/>
      <c r="F10" s="2939"/>
      <c r="G10" s="1760" t="str">
        <f>IF(G91="","",G91)</f>
        <v>積上げ・率処理併用</v>
      </c>
      <c r="H10" s="1760" t="str">
        <f t="shared" ref="H10:N12" si="3">IF(H91="","",H91)</f>
        <v/>
      </c>
      <c r="I10" s="1760" t="str">
        <f t="shared" si="3"/>
        <v/>
      </c>
      <c r="J10" s="1760" t="str">
        <f t="shared" si="3"/>
        <v/>
      </c>
      <c r="K10" s="1760" t="str">
        <f t="shared" si="3"/>
        <v/>
      </c>
      <c r="L10" s="1760" t="str">
        <f t="shared" si="3"/>
        <v/>
      </c>
      <c r="M10" s="1760" t="str">
        <f t="shared" si="3"/>
        <v/>
      </c>
      <c r="N10" s="1761" t="str">
        <f t="shared" si="3"/>
        <v/>
      </c>
    </row>
    <row r="11" spans="1:256" ht="30" customHeight="1">
      <c r="A11" s="2940" t="s">
        <v>2827</v>
      </c>
      <c r="B11" s="2941"/>
      <c r="C11" s="2941"/>
      <c r="D11" s="2941"/>
      <c r="E11" s="2941"/>
      <c r="F11" s="2942"/>
      <c r="G11" s="1763" t="str">
        <f>IF(G92="","",G92)</f>
        <v>駅施設</v>
      </c>
      <c r="H11" s="1763" t="str">
        <f t="shared" si="3"/>
        <v/>
      </c>
      <c r="I11" s="1763" t="str">
        <f t="shared" si="3"/>
        <v/>
      </c>
      <c r="J11" s="1763" t="str">
        <f t="shared" si="3"/>
        <v/>
      </c>
      <c r="K11" s="1763" t="str">
        <f t="shared" si="3"/>
        <v/>
      </c>
      <c r="L11" s="1763" t="str">
        <f t="shared" si="3"/>
        <v/>
      </c>
      <c r="M11" s="1763" t="str">
        <f t="shared" si="3"/>
        <v/>
      </c>
      <c r="N11" s="1764" t="str">
        <f t="shared" si="3"/>
        <v/>
      </c>
    </row>
    <row r="12" spans="1:256" ht="30" customHeight="1">
      <c r="A12" s="2943" t="s">
        <v>2828</v>
      </c>
      <c r="B12" s="2944"/>
      <c r="C12" s="2944"/>
      <c r="D12" s="2944"/>
      <c r="E12" s="2944"/>
      <c r="F12" s="2945"/>
      <c r="G12" s="1765" t="str">
        <f>IF(G93="","",G93)</f>
        <v>無し</v>
      </c>
      <c r="H12" s="1765" t="str">
        <f t="shared" si="3"/>
        <v/>
      </c>
      <c r="I12" s="1765" t="str">
        <f t="shared" si="3"/>
        <v/>
      </c>
      <c r="J12" s="1765" t="str">
        <f t="shared" si="3"/>
        <v/>
      </c>
      <c r="K12" s="1765" t="str">
        <f t="shared" si="3"/>
        <v/>
      </c>
      <c r="L12" s="1765" t="str">
        <f t="shared" si="3"/>
        <v/>
      </c>
      <c r="M12" s="1765" t="str">
        <f t="shared" si="3"/>
        <v/>
      </c>
      <c r="N12" s="1766" t="str">
        <f t="shared" si="3"/>
        <v/>
      </c>
    </row>
    <row r="13" spans="1:256" s="1774" customFormat="1" ht="13.5" customHeight="1">
      <c r="A13" s="1767"/>
      <c r="B13" s="1768" t="s">
        <v>2721</v>
      </c>
      <c r="C13" s="1769"/>
      <c r="D13" s="1769"/>
      <c r="E13" s="1770"/>
      <c r="F13" s="1771">
        <f>SUM(G13:N13)</f>
        <v>0</v>
      </c>
      <c r="G13" s="1772"/>
      <c r="H13" s="1772"/>
      <c r="I13" s="1772"/>
      <c r="J13" s="1772"/>
      <c r="K13" s="1772"/>
      <c r="L13" s="1772"/>
      <c r="M13" s="1772"/>
      <c r="N13" s="1773"/>
    </row>
    <row r="14" spans="1:256" s="1774" customFormat="1" ht="13.5" customHeight="1">
      <c r="A14" s="1775"/>
      <c r="B14" s="1776" t="s">
        <v>2722</v>
      </c>
      <c r="C14" s="1777"/>
      <c r="D14" s="1777"/>
      <c r="E14" s="1778"/>
      <c r="F14" s="1779"/>
      <c r="G14" s="1780">
        <f>SUM(G15:G16)</f>
        <v>0</v>
      </c>
      <c r="H14" s="1780">
        <f t="shared" ref="H14:N14" si="4">SUM(H15:H16)</f>
        <v>0</v>
      </c>
      <c r="I14" s="1780">
        <f t="shared" si="4"/>
        <v>0</v>
      </c>
      <c r="J14" s="1780">
        <f t="shared" si="4"/>
        <v>0</v>
      </c>
      <c r="K14" s="1780">
        <f t="shared" si="4"/>
        <v>0</v>
      </c>
      <c r="L14" s="1780">
        <f t="shared" si="4"/>
        <v>0</v>
      </c>
      <c r="M14" s="1780">
        <f t="shared" si="4"/>
        <v>0</v>
      </c>
      <c r="N14" s="1781">
        <f t="shared" si="4"/>
        <v>0</v>
      </c>
    </row>
    <row r="15" spans="1:256" s="1774" customFormat="1" ht="13.5" customHeight="1">
      <c r="A15" s="1775"/>
      <c r="B15" s="1782" t="s">
        <v>2519</v>
      </c>
      <c r="C15" s="1783"/>
      <c r="D15" s="1783"/>
      <c r="E15" s="1784"/>
      <c r="F15" s="1785"/>
      <c r="G15" s="1786">
        <f t="shared" ref="G15:N15" si="5">G309-G96</f>
        <v>0</v>
      </c>
      <c r="H15" s="1786">
        <f t="shared" si="5"/>
        <v>0</v>
      </c>
      <c r="I15" s="1786">
        <f t="shared" si="5"/>
        <v>0</v>
      </c>
      <c r="J15" s="1786">
        <f>J309-J96</f>
        <v>0</v>
      </c>
      <c r="K15" s="1786">
        <f>K309-K96</f>
        <v>0</v>
      </c>
      <c r="L15" s="1786">
        <f t="shared" si="5"/>
        <v>0</v>
      </c>
      <c r="M15" s="1786">
        <f t="shared" si="5"/>
        <v>0</v>
      </c>
      <c r="N15" s="1787">
        <f t="shared" si="5"/>
        <v>0</v>
      </c>
    </row>
    <row r="16" spans="1:256" s="1774" customFormat="1" ht="13.5" customHeight="1">
      <c r="A16" s="1775"/>
      <c r="B16" s="1782" t="s">
        <v>2525</v>
      </c>
      <c r="C16" s="1783"/>
      <c r="D16" s="1783"/>
      <c r="E16" s="1784"/>
      <c r="F16" s="1785"/>
      <c r="G16" s="1788"/>
      <c r="H16" s="1788"/>
      <c r="I16" s="1788"/>
      <c r="J16" s="1788"/>
      <c r="K16" s="1788"/>
      <c r="L16" s="1788"/>
      <c r="M16" s="1788"/>
      <c r="N16" s="1789"/>
    </row>
    <row r="17" spans="1:256" s="1774" customFormat="1" ht="13.5" customHeight="1">
      <c r="A17" s="1775"/>
      <c r="B17" s="1790" t="s">
        <v>2829</v>
      </c>
      <c r="C17" s="1791"/>
      <c r="D17" s="1791"/>
      <c r="E17" s="1792"/>
      <c r="F17" s="1793"/>
      <c r="G17" s="1794"/>
      <c r="H17" s="1794"/>
      <c r="I17" s="1794"/>
      <c r="J17" s="1794"/>
      <c r="K17" s="1794"/>
      <c r="L17" s="1794"/>
      <c r="M17" s="1794"/>
      <c r="N17" s="1795"/>
    </row>
    <row r="18" spans="1:256" s="1774" customFormat="1" ht="13.5" customHeight="1">
      <c r="A18" s="1796"/>
      <c r="B18" s="1797" t="s">
        <v>2724</v>
      </c>
      <c r="C18" s="1798"/>
      <c r="D18" s="1798"/>
      <c r="E18" s="1799"/>
      <c r="F18" s="1800">
        <f>SUM(G18:N18)</f>
        <v>0</v>
      </c>
      <c r="G18" s="1801">
        <f t="shared" ref="G18:N18" si="6">G318-G105</f>
        <v>0</v>
      </c>
      <c r="H18" s="1801">
        <f t="shared" si="6"/>
        <v>0</v>
      </c>
      <c r="I18" s="1801">
        <f t="shared" si="6"/>
        <v>0</v>
      </c>
      <c r="J18" s="1801">
        <f>J318-J105</f>
        <v>0</v>
      </c>
      <c r="K18" s="1801">
        <f>K318-K105</f>
        <v>0</v>
      </c>
      <c r="L18" s="1801">
        <f t="shared" si="6"/>
        <v>0</v>
      </c>
      <c r="M18" s="1801">
        <f t="shared" si="6"/>
        <v>0</v>
      </c>
      <c r="N18" s="1802">
        <f t="shared" si="6"/>
        <v>0</v>
      </c>
    </row>
    <row r="19" spans="1:256" s="1774" customFormat="1" ht="13.5" hidden="1" customHeight="1">
      <c r="A19" s="1775"/>
      <c r="B19" s="1797" t="s">
        <v>2725</v>
      </c>
      <c r="C19" s="1798"/>
      <c r="D19" s="1798"/>
      <c r="E19" s="1799"/>
      <c r="F19" s="1800" t="e">
        <f>SUM(G19:N19)</f>
        <v>#REF!</v>
      </c>
      <c r="G19" s="1803" t="e">
        <f>G204-#REF!</f>
        <v>#REF!</v>
      </c>
      <c r="H19" s="1803" t="e">
        <f>H204-#REF!</f>
        <v>#REF!</v>
      </c>
      <c r="I19" s="1803" t="e">
        <f>I204-#REF!</f>
        <v>#REF!</v>
      </c>
      <c r="J19" s="1803" t="e">
        <f>J204-#REF!</f>
        <v>#REF!</v>
      </c>
      <c r="K19" s="1803" t="e">
        <f>K204-#REF!</f>
        <v>#REF!</v>
      </c>
      <c r="L19" s="1803" t="e">
        <f>L204-#REF!</f>
        <v>#REF!</v>
      </c>
      <c r="M19" s="1803" t="e">
        <f>M204-#REF!</f>
        <v>#REF!</v>
      </c>
      <c r="N19" s="1804" t="e">
        <f>N204-#REF!</f>
        <v>#REF!</v>
      </c>
    </row>
    <row r="20" spans="1:256" s="1774" customFormat="1" ht="13.5" customHeight="1">
      <c r="A20" s="1775"/>
      <c r="B20" s="1805" t="s">
        <v>2726</v>
      </c>
      <c r="C20" s="1791"/>
      <c r="D20" s="1791"/>
      <c r="E20" s="1792"/>
      <c r="F20" s="1806">
        <f>SUM(G20:N20)</f>
        <v>0</v>
      </c>
      <c r="G20" s="1807">
        <f t="shared" ref="G20:N20" si="7">G321-G108</f>
        <v>0</v>
      </c>
      <c r="H20" s="1807">
        <f t="shared" si="7"/>
        <v>0</v>
      </c>
      <c r="I20" s="1807">
        <f t="shared" si="7"/>
        <v>0</v>
      </c>
      <c r="J20" s="1807">
        <f>J321-J108</f>
        <v>0</v>
      </c>
      <c r="K20" s="1807">
        <f>K321-K108</f>
        <v>0</v>
      </c>
      <c r="L20" s="1807">
        <f t="shared" si="7"/>
        <v>0</v>
      </c>
      <c r="M20" s="1807">
        <f t="shared" si="7"/>
        <v>0</v>
      </c>
      <c r="N20" s="1808">
        <f t="shared" si="7"/>
        <v>0</v>
      </c>
    </row>
    <row r="21" spans="1:256" s="1712" customFormat="1" ht="16">
      <c r="A21" s="1809" t="s">
        <v>2830</v>
      </c>
      <c r="B21" s="1810"/>
      <c r="C21" s="1811"/>
      <c r="D21" s="1812" t="s">
        <v>2623</v>
      </c>
      <c r="E21" s="1812" t="s">
        <v>2656</v>
      </c>
      <c r="F21" s="1812"/>
      <c r="G21" s="1812"/>
      <c r="H21" s="1812"/>
      <c r="I21" s="1812"/>
      <c r="J21" s="1812"/>
      <c r="K21" s="1812"/>
      <c r="L21" s="1812"/>
      <c r="M21" s="1812"/>
      <c r="N21" s="1813"/>
      <c r="IA21" s="1713"/>
      <c r="IB21" s="1713"/>
      <c r="IC21" s="1713"/>
      <c r="ID21" s="1713"/>
      <c r="IE21" s="1713"/>
      <c r="IF21" s="1713"/>
      <c r="IG21" s="1713"/>
      <c r="IH21" s="1713"/>
      <c r="II21" s="1713"/>
      <c r="IJ21" s="1713"/>
      <c r="IK21" s="1713"/>
      <c r="IL21" s="1713"/>
      <c r="IM21" s="1713"/>
      <c r="IN21" s="1713"/>
      <c r="IO21" s="1713"/>
      <c r="IP21" s="1713"/>
      <c r="IQ21" s="1713"/>
      <c r="IR21" s="1713"/>
      <c r="IS21" s="1713"/>
      <c r="IT21" s="1713"/>
      <c r="IU21" s="1713"/>
      <c r="IV21" s="1713"/>
    </row>
    <row r="22" spans="1:256" s="1712" customFormat="1" ht="16">
      <c r="A22" s="1814"/>
      <c r="B22" s="2946" t="s">
        <v>2831</v>
      </c>
      <c r="C22" s="1815" t="str">
        <f>C121</f>
        <v>(1)新築一般建築工事</v>
      </c>
      <c r="D22" s="1815"/>
      <c r="E22" s="1816"/>
      <c r="F22" s="1817">
        <f>SUM(G22:N22)</f>
        <v>0</v>
      </c>
      <c r="G22" s="1818">
        <f t="shared" ref="G22:N22" si="8">IF(G88="新営",G13-SUM(G27:G33)-G37-G41,0)</f>
        <v>0</v>
      </c>
      <c r="H22" s="1818">
        <f t="shared" si="8"/>
        <v>0</v>
      </c>
      <c r="I22" s="1818">
        <f t="shared" si="8"/>
        <v>0</v>
      </c>
      <c r="J22" s="1818">
        <f>IF(J88="新営",J13-SUM(J27:J33)-J37-J41,0)</f>
        <v>0</v>
      </c>
      <c r="K22" s="1818">
        <f>IF(K88="新営",K13-SUM(K27:K33)-K37-K41,0)</f>
        <v>0</v>
      </c>
      <c r="L22" s="1818">
        <f t="shared" si="8"/>
        <v>0</v>
      </c>
      <c r="M22" s="1818">
        <f t="shared" si="8"/>
        <v>0</v>
      </c>
      <c r="N22" s="1819">
        <f t="shared" si="8"/>
        <v>0</v>
      </c>
      <c r="IA22" s="1713"/>
      <c r="IB22" s="1713"/>
      <c r="IC22" s="1713"/>
      <c r="ID22" s="1713"/>
      <c r="IE22" s="1713"/>
      <c r="IF22" s="1713"/>
      <c r="IG22" s="1713"/>
      <c r="IH22" s="1713"/>
      <c r="II22" s="1713"/>
      <c r="IJ22" s="1713"/>
      <c r="IK22" s="1713"/>
      <c r="IL22" s="1713"/>
      <c r="IM22" s="1713"/>
      <c r="IN22" s="1713"/>
      <c r="IO22" s="1713"/>
      <c r="IP22" s="1713"/>
      <c r="IQ22" s="1713"/>
      <c r="IR22" s="1713"/>
      <c r="IS22" s="1713"/>
      <c r="IT22" s="1713"/>
      <c r="IU22" s="1713"/>
      <c r="IV22" s="1713"/>
    </row>
    <row r="23" spans="1:256" s="1712" customFormat="1" ht="16">
      <c r="A23" s="1814"/>
      <c r="B23" s="2947"/>
      <c r="C23" s="1820" t="str">
        <f t="shared" ref="C23:C43" si="9">C122</f>
        <v>（２）改修一般建築工事</v>
      </c>
      <c r="D23" s="1821"/>
      <c r="E23" s="1822"/>
      <c r="F23" s="1823"/>
      <c r="G23" s="1824">
        <f t="shared" ref="G23:N23" si="10">IF(G88="改修",G13-SUM(G27:G33)-G37-G41,0)</f>
        <v>0</v>
      </c>
      <c r="H23" s="1824">
        <f t="shared" si="10"/>
        <v>0</v>
      </c>
      <c r="I23" s="1824">
        <f t="shared" si="10"/>
        <v>0</v>
      </c>
      <c r="J23" s="1824">
        <f>IF(J88="改修",J13-SUM(J27:J33)-J37-J41,0)</f>
        <v>0</v>
      </c>
      <c r="K23" s="1824">
        <f>IF(K88="改修",K13-SUM(K27:K33)-K37-K41,0)</f>
        <v>0</v>
      </c>
      <c r="L23" s="1824">
        <f t="shared" si="10"/>
        <v>0</v>
      </c>
      <c r="M23" s="1824">
        <f t="shared" si="10"/>
        <v>0</v>
      </c>
      <c r="N23" s="1825">
        <f t="shared" si="10"/>
        <v>0</v>
      </c>
      <c r="IA23" s="1713"/>
      <c r="IB23" s="1713"/>
      <c r="IC23" s="1713"/>
      <c r="ID23" s="1713"/>
      <c r="IE23" s="1713"/>
      <c r="IF23" s="1713"/>
      <c r="IG23" s="1713"/>
      <c r="IH23" s="1713"/>
      <c r="II23" s="1713"/>
      <c r="IJ23" s="1713"/>
      <c r="IK23" s="1713"/>
      <c r="IL23" s="1713"/>
      <c r="IM23" s="1713"/>
      <c r="IN23" s="1713"/>
      <c r="IO23" s="1713"/>
      <c r="IP23" s="1713"/>
      <c r="IQ23" s="1713"/>
      <c r="IR23" s="1713"/>
      <c r="IS23" s="1713"/>
      <c r="IT23" s="1713"/>
      <c r="IU23" s="1713"/>
      <c r="IV23" s="1713"/>
    </row>
    <row r="24" spans="1:256" s="1712" customFormat="1" ht="16">
      <c r="A24" s="1814"/>
      <c r="B24" s="2947"/>
      <c r="C24" s="1820" t="str">
        <f t="shared" si="9"/>
        <v>（３）警備員費（共通仮設費）</v>
      </c>
      <c r="D24" s="1821"/>
      <c r="E24" s="1822"/>
      <c r="F24" s="1823"/>
      <c r="G24" s="1824">
        <f t="shared" ref="G24:N24" si="11">G17</f>
        <v>0</v>
      </c>
      <c r="H24" s="1824">
        <f t="shared" si="11"/>
        <v>0</v>
      </c>
      <c r="I24" s="1824">
        <f t="shared" si="11"/>
        <v>0</v>
      </c>
      <c r="J24" s="1824">
        <f>J17</f>
        <v>0</v>
      </c>
      <c r="K24" s="1824">
        <f>K17</f>
        <v>0</v>
      </c>
      <c r="L24" s="1824">
        <f t="shared" si="11"/>
        <v>0</v>
      </c>
      <c r="M24" s="1824">
        <f t="shared" si="11"/>
        <v>0</v>
      </c>
      <c r="N24" s="1825">
        <f t="shared" si="11"/>
        <v>0</v>
      </c>
      <c r="IA24" s="1713"/>
      <c r="IB24" s="1713"/>
      <c r="IC24" s="1713"/>
      <c r="ID24" s="1713"/>
      <c r="IE24" s="1713"/>
      <c r="IF24" s="1713"/>
      <c r="IG24" s="1713"/>
      <c r="IH24" s="1713"/>
      <c r="II24" s="1713"/>
      <c r="IJ24" s="1713"/>
      <c r="IK24" s="1713"/>
      <c r="IL24" s="1713"/>
      <c r="IM24" s="1713"/>
      <c r="IN24" s="1713"/>
      <c r="IO24" s="1713"/>
      <c r="IP24" s="1713"/>
      <c r="IQ24" s="1713"/>
      <c r="IR24" s="1713"/>
      <c r="IS24" s="1713"/>
      <c r="IT24" s="1713"/>
      <c r="IU24" s="1713"/>
      <c r="IV24" s="1713"/>
    </row>
    <row r="25" spans="1:256" s="1712" customFormat="1" ht="16">
      <c r="A25" s="1814"/>
      <c r="B25" s="2948"/>
      <c r="C25" s="1826" t="str">
        <f t="shared" si="9"/>
        <v>(4-1)率算出共通仮設工事</v>
      </c>
      <c r="D25" s="1826"/>
      <c r="E25" s="1827"/>
      <c r="F25" s="1828">
        <f t="shared" ref="F25:F31" si="12">SUM(G25:N25)</f>
        <v>0</v>
      </c>
      <c r="G25" s="1829">
        <f t="shared" ref="G25:N25" si="13">G337-G124</f>
        <v>0</v>
      </c>
      <c r="H25" s="1829">
        <f t="shared" si="13"/>
        <v>0</v>
      </c>
      <c r="I25" s="1829">
        <f t="shared" si="13"/>
        <v>0</v>
      </c>
      <c r="J25" s="1829">
        <f>J337-J124</f>
        <v>0</v>
      </c>
      <c r="K25" s="1829">
        <f>K337-K124</f>
        <v>0</v>
      </c>
      <c r="L25" s="1829">
        <f t="shared" si="13"/>
        <v>0</v>
      </c>
      <c r="M25" s="1829">
        <f t="shared" si="13"/>
        <v>0</v>
      </c>
      <c r="N25" s="1830">
        <f t="shared" si="13"/>
        <v>0</v>
      </c>
      <c r="IA25" s="1713"/>
      <c r="IB25" s="1713"/>
      <c r="IC25" s="1713"/>
      <c r="ID25" s="1713"/>
      <c r="IE25" s="1713"/>
      <c r="IF25" s="1713"/>
      <c r="IG25" s="1713"/>
      <c r="IH25" s="1713"/>
      <c r="II25" s="1713"/>
      <c r="IJ25" s="1713"/>
      <c r="IK25" s="1713"/>
      <c r="IL25" s="1713"/>
      <c r="IM25" s="1713"/>
      <c r="IN25" s="1713"/>
      <c r="IO25" s="1713"/>
      <c r="IP25" s="1713"/>
      <c r="IQ25" s="1713"/>
      <c r="IR25" s="1713"/>
      <c r="IS25" s="1713"/>
      <c r="IT25" s="1713"/>
      <c r="IU25" s="1713"/>
      <c r="IV25" s="1713"/>
    </row>
    <row r="26" spans="1:256" s="1712" customFormat="1" ht="16">
      <c r="A26" s="1814"/>
      <c r="B26" s="2946" t="s">
        <v>2729</v>
      </c>
      <c r="C26" s="1815" t="str">
        <f t="shared" si="9"/>
        <v>(4-2)積上げ共通仮設工事※警備員費・率除外項目除く</v>
      </c>
      <c r="D26" s="1815"/>
      <c r="E26" s="1831">
        <f>+E105</f>
        <v>0</v>
      </c>
      <c r="F26" s="1817">
        <f t="shared" si="12"/>
        <v>0</v>
      </c>
      <c r="G26" s="1818">
        <f t="shared" ref="G26:N26" si="14">G16-G17-G38-G39-G40-G42-G43</f>
        <v>0</v>
      </c>
      <c r="H26" s="1818">
        <f t="shared" si="14"/>
        <v>0</v>
      </c>
      <c r="I26" s="1818">
        <f t="shared" si="14"/>
        <v>0</v>
      </c>
      <c r="J26" s="1818">
        <f>J16-J17-J38-J39-J40-J42-J43</f>
        <v>0</v>
      </c>
      <c r="K26" s="1818">
        <f>K16-K17-K38-K39-K40-K42-K43</f>
        <v>0</v>
      </c>
      <c r="L26" s="1818">
        <f t="shared" si="14"/>
        <v>0</v>
      </c>
      <c r="M26" s="1818">
        <f t="shared" si="14"/>
        <v>0</v>
      </c>
      <c r="N26" s="1819">
        <f t="shared" si="14"/>
        <v>0</v>
      </c>
      <c r="IA26" s="1713"/>
      <c r="IB26" s="1713"/>
      <c r="IC26" s="1713"/>
      <c r="ID26" s="1713"/>
      <c r="IE26" s="1713"/>
      <c r="IF26" s="1713"/>
      <c r="IG26" s="1713"/>
      <c r="IH26" s="1713"/>
      <c r="II26" s="1713"/>
      <c r="IJ26" s="1713"/>
      <c r="IK26" s="1713"/>
      <c r="IL26" s="1713"/>
      <c r="IM26" s="1713"/>
      <c r="IN26" s="1713"/>
      <c r="IO26" s="1713"/>
      <c r="IP26" s="1713"/>
      <c r="IQ26" s="1713"/>
      <c r="IR26" s="1713"/>
      <c r="IS26" s="1713"/>
      <c r="IT26" s="1713"/>
      <c r="IU26" s="1713"/>
      <c r="IV26" s="1713"/>
    </row>
    <row r="27" spans="1:256" s="1712" customFormat="1" ht="16">
      <c r="A27" s="1814"/>
      <c r="B27" s="2947"/>
      <c r="C27" s="1820" t="str">
        <f t="shared" si="9"/>
        <v>(5)直接仮設工事（下請経費共）</v>
      </c>
      <c r="D27" s="1820"/>
      <c r="E27" s="1832">
        <f>+E106</f>
        <v>0</v>
      </c>
      <c r="F27" s="1833">
        <f t="shared" si="12"/>
        <v>0</v>
      </c>
      <c r="G27" s="1834"/>
      <c r="H27" s="1834"/>
      <c r="I27" s="1834"/>
      <c r="J27" s="1834"/>
      <c r="K27" s="1834"/>
      <c r="L27" s="1834"/>
      <c r="M27" s="1834"/>
      <c r="N27" s="1835"/>
      <c r="IA27" s="1713"/>
      <c r="IB27" s="1713"/>
      <c r="IC27" s="1713"/>
      <c r="ID27" s="1713"/>
      <c r="IE27" s="1713"/>
      <c r="IF27" s="1713"/>
      <c r="IG27" s="1713"/>
      <c r="IH27" s="1713"/>
      <c r="II27" s="1713"/>
      <c r="IJ27" s="1713"/>
      <c r="IK27" s="1713"/>
      <c r="IL27" s="1713"/>
      <c r="IM27" s="1713"/>
      <c r="IN27" s="1713"/>
      <c r="IO27" s="1713"/>
      <c r="IP27" s="1713"/>
      <c r="IQ27" s="1713"/>
      <c r="IR27" s="1713"/>
      <c r="IS27" s="1713"/>
      <c r="IT27" s="1713"/>
      <c r="IU27" s="1713"/>
      <c r="IV27" s="1713"/>
    </row>
    <row r="28" spans="1:256" s="1712" customFormat="1" ht="16">
      <c r="A28" s="1814"/>
      <c r="B28" s="2947"/>
      <c r="C28" s="1820" t="str">
        <f t="shared" si="9"/>
        <v>(6)建具工事（下請経費共）</v>
      </c>
      <c r="D28" s="1820"/>
      <c r="E28" s="1832">
        <f>+E107</f>
        <v>0</v>
      </c>
      <c r="F28" s="1833">
        <f t="shared" si="12"/>
        <v>0</v>
      </c>
      <c r="G28" s="1834"/>
      <c r="H28" s="1834"/>
      <c r="I28" s="1834"/>
      <c r="J28" s="1834"/>
      <c r="K28" s="1834"/>
      <c r="L28" s="1834"/>
      <c r="M28" s="1834"/>
      <c r="N28" s="1835"/>
      <c r="IA28" s="1713"/>
      <c r="IB28" s="1713"/>
      <c r="IC28" s="1713"/>
      <c r="ID28" s="1713"/>
      <c r="IE28" s="1713"/>
      <c r="IF28" s="1713"/>
      <c r="IG28" s="1713"/>
      <c r="IH28" s="1713"/>
      <c r="II28" s="1713"/>
      <c r="IJ28" s="1713"/>
      <c r="IK28" s="1713"/>
      <c r="IL28" s="1713"/>
      <c r="IM28" s="1713"/>
      <c r="IN28" s="1713"/>
      <c r="IO28" s="1713"/>
      <c r="IP28" s="1713"/>
      <c r="IQ28" s="1713"/>
      <c r="IR28" s="1713"/>
      <c r="IS28" s="1713"/>
      <c r="IT28" s="1713"/>
      <c r="IU28" s="1713"/>
      <c r="IV28" s="1713"/>
    </row>
    <row r="29" spans="1:256" s="1712" customFormat="1" ht="16">
      <c r="A29" s="1814"/>
      <c r="B29" s="2947"/>
      <c r="C29" s="1820" t="str">
        <f t="shared" si="9"/>
        <v>(7)場内小運搬費（下請経費共）</v>
      </c>
      <c r="D29" s="1820"/>
      <c r="E29" s="1832">
        <f>+E108</f>
        <v>0</v>
      </c>
      <c r="F29" s="1833">
        <f t="shared" si="12"/>
        <v>0</v>
      </c>
      <c r="G29" s="1834"/>
      <c r="H29" s="1834"/>
      <c r="I29" s="1834"/>
      <c r="J29" s="1834"/>
      <c r="K29" s="1834"/>
      <c r="L29" s="1834"/>
      <c r="M29" s="1834"/>
      <c r="N29" s="1835"/>
      <c r="IA29" s="1713"/>
      <c r="IB29" s="1713"/>
      <c r="IC29" s="1713"/>
      <c r="ID29" s="1713"/>
      <c r="IE29" s="1713"/>
      <c r="IF29" s="1713"/>
      <c r="IG29" s="1713"/>
      <c r="IH29" s="1713"/>
      <c r="II29" s="1713"/>
      <c r="IJ29" s="1713"/>
      <c r="IK29" s="1713"/>
      <c r="IL29" s="1713"/>
      <c r="IM29" s="1713"/>
      <c r="IN29" s="1713"/>
      <c r="IO29" s="1713"/>
      <c r="IP29" s="1713"/>
      <c r="IQ29" s="1713"/>
      <c r="IR29" s="1713"/>
      <c r="IS29" s="1713"/>
      <c r="IT29" s="1713"/>
      <c r="IU29" s="1713"/>
      <c r="IV29" s="1713"/>
    </row>
    <row r="30" spans="1:256" s="1712" customFormat="1" ht="16">
      <c r="A30" s="1814"/>
      <c r="B30" s="2947"/>
      <c r="C30" s="1820" t="str">
        <f t="shared" si="9"/>
        <v>(8)〃人力積込み費（下請経費共）</v>
      </c>
      <c r="D30" s="1820"/>
      <c r="E30" s="1832">
        <f>+E109</f>
        <v>0</v>
      </c>
      <c r="F30" s="1833">
        <f t="shared" si="12"/>
        <v>0</v>
      </c>
      <c r="G30" s="1834"/>
      <c r="H30" s="1834"/>
      <c r="I30" s="1834"/>
      <c r="J30" s="1834"/>
      <c r="K30" s="1834"/>
      <c r="L30" s="1834"/>
      <c r="M30" s="1834"/>
      <c r="N30" s="1835"/>
      <c r="IA30" s="1713"/>
      <c r="IB30" s="1713"/>
      <c r="IC30" s="1713"/>
      <c r="ID30" s="1713"/>
      <c r="IE30" s="1713"/>
      <c r="IF30" s="1713"/>
      <c r="IG30" s="1713"/>
      <c r="IH30" s="1713"/>
      <c r="II30" s="1713"/>
      <c r="IJ30" s="1713"/>
      <c r="IK30" s="1713"/>
      <c r="IL30" s="1713"/>
      <c r="IM30" s="1713"/>
      <c r="IN30" s="1713"/>
      <c r="IO30" s="1713"/>
      <c r="IP30" s="1713"/>
      <c r="IQ30" s="1713"/>
      <c r="IR30" s="1713"/>
      <c r="IS30" s="1713"/>
      <c r="IT30" s="1713"/>
      <c r="IU30" s="1713"/>
      <c r="IV30" s="1713"/>
    </row>
    <row r="31" spans="1:256" s="1712" customFormat="1" ht="16">
      <c r="A31" s="1814"/>
      <c r="B31" s="2947"/>
      <c r="C31" s="1820" t="str">
        <f t="shared" si="9"/>
        <v>(9)〃搬出準備費</v>
      </c>
      <c r="D31" s="1820"/>
      <c r="E31" s="1832"/>
      <c r="F31" s="1833">
        <f t="shared" si="12"/>
        <v>0</v>
      </c>
      <c r="G31" s="1836"/>
      <c r="H31" s="1836"/>
      <c r="I31" s="1836"/>
      <c r="J31" s="1836"/>
      <c r="K31" s="1836"/>
      <c r="L31" s="1836"/>
      <c r="M31" s="1836"/>
      <c r="N31" s="1837"/>
      <c r="IA31" s="1713"/>
      <c r="IB31" s="1713"/>
      <c r="IC31" s="1713"/>
      <c r="ID31" s="1713"/>
      <c r="IE31" s="1713"/>
      <c r="IF31" s="1713"/>
      <c r="IG31" s="1713"/>
      <c r="IH31" s="1713"/>
      <c r="II31" s="1713"/>
      <c r="IJ31" s="1713"/>
      <c r="IK31" s="1713"/>
      <c r="IL31" s="1713"/>
      <c r="IM31" s="1713"/>
      <c r="IN31" s="1713"/>
      <c r="IO31" s="1713"/>
      <c r="IP31" s="1713"/>
      <c r="IQ31" s="1713"/>
      <c r="IR31" s="1713"/>
      <c r="IS31" s="1713"/>
      <c r="IT31" s="1713"/>
      <c r="IU31" s="1713"/>
      <c r="IV31" s="1713"/>
    </row>
    <row r="32" spans="1:256" s="1712" customFormat="1" ht="16">
      <c r="A32" s="1814"/>
      <c r="B32" s="2947"/>
      <c r="C32" s="1820">
        <f t="shared" si="9"/>
        <v>0</v>
      </c>
      <c r="D32" s="1820"/>
      <c r="E32" s="1832"/>
      <c r="F32" s="1833"/>
      <c r="G32" s="1836"/>
      <c r="H32" s="1836"/>
      <c r="I32" s="1836"/>
      <c r="J32" s="1836"/>
      <c r="K32" s="1836"/>
      <c r="L32" s="1836"/>
      <c r="M32" s="1836"/>
      <c r="N32" s="1837"/>
      <c r="IA32" s="1713"/>
      <c r="IB32" s="1713"/>
      <c r="IC32" s="1713"/>
      <c r="ID32" s="1713"/>
      <c r="IE32" s="1713"/>
      <c r="IF32" s="1713"/>
      <c r="IG32" s="1713"/>
      <c r="IH32" s="1713"/>
      <c r="II32" s="1713"/>
      <c r="IJ32" s="1713"/>
      <c r="IK32" s="1713"/>
      <c r="IL32" s="1713"/>
      <c r="IM32" s="1713"/>
      <c r="IN32" s="1713"/>
      <c r="IO32" s="1713"/>
      <c r="IP32" s="1713"/>
      <c r="IQ32" s="1713"/>
      <c r="IR32" s="1713"/>
      <c r="IS32" s="1713"/>
      <c r="IT32" s="1713"/>
      <c r="IU32" s="1713"/>
      <c r="IV32" s="1713"/>
    </row>
    <row r="33" spans="1:256" s="1712" customFormat="1" ht="16">
      <c r="A33" s="1814"/>
      <c r="B33" s="2948"/>
      <c r="C33" s="1826">
        <f t="shared" si="9"/>
        <v>0</v>
      </c>
      <c r="D33" s="1826"/>
      <c r="E33" s="1827"/>
      <c r="F33" s="1828">
        <f t="shared" ref="F33:F43" si="15">SUM(G33:N33)</f>
        <v>0</v>
      </c>
      <c r="G33" s="1838"/>
      <c r="H33" s="1838"/>
      <c r="I33" s="1838"/>
      <c r="J33" s="1838"/>
      <c r="K33" s="1838"/>
      <c r="L33" s="1838"/>
      <c r="M33" s="1838"/>
      <c r="N33" s="1839"/>
      <c r="IA33" s="1713"/>
      <c r="IB33" s="1713"/>
      <c r="IC33" s="1713"/>
      <c r="ID33" s="1713"/>
      <c r="IE33" s="1713"/>
      <c r="IF33" s="1713"/>
      <c r="IG33" s="1713"/>
      <c r="IH33" s="1713"/>
      <c r="II33" s="1713"/>
      <c r="IJ33" s="1713"/>
      <c r="IK33" s="1713"/>
      <c r="IL33" s="1713"/>
      <c r="IM33" s="1713"/>
      <c r="IN33" s="1713"/>
      <c r="IO33" s="1713"/>
      <c r="IP33" s="1713"/>
      <c r="IQ33" s="1713"/>
      <c r="IR33" s="1713"/>
      <c r="IS33" s="1713"/>
      <c r="IT33" s="1713"/>
      <c r="IU33" s="1713"/>
      <c r="IV33" s="1713"/>
    </row>
    <row r="34" spans="1:256" s="1712" customFormat="1" ht="16">
      <c r="A34" s="1814"/>
      <c r="B34" s="2946" t="s">
        <v>477</v>
      </c>
      <c r="C34" s="1815" t="str">
        <f t="shared" si="9"/>
        <v>(10)近隣家屋調査及び地質調査</v>
      </c>
      <c r="D34" s="1815"/>
      <c r="E34" s="1816"/>
      <c r="F34" s="1817">
        <f t="shared" si="15"/>
        <v>0</v>
      </c>
      <c r="G34" s="1840"/>
      <c r="H34" s="1840"/>
      <c r="I34" s="1840"/>
      <c r="J34" s="1840"/>
      <c r="K34" s="1840"/>
      <c r="L34" s="1840"/>
      <c r="M34" s="1840"/>
      <c r="N34" s="1841"/>
      <c r="IA34" s="1713"/>
      <c r="IB34" s="1713"/>
      <c r="IC34" s="1713"/>
      <c r="ID34" s="1713"/>
      <c r="IE34" s="1713"/>
      <c r="IF34" s="1713"/>
      <c r="IG34" s="1713"/>
      <c r="IH34" s="1713"/>
      <c r="II34" s="1713"/>
      <c r="IJ34" s="1713"/>
      <c r="IK34" s="1713"/>
      <c r="IL34" s="1713"/>
      <c r="IM34" s="1713"/>
      <c r="IN34" s="1713"/>
      <c r="IO34" s="1713"/>
      <c r="IP34" s="1713"/>
      <c r="IQ34" s="1713"/>
      <c r="IR34" s="1713"/>
      <c r="IS34" s="1713"/>
      <c r="IT34" s="1713"/>
      <c r="IU34" s="1713"/>
      <c r="IV34" s="1713"/>
    </row>
    <row r="35" spans="1:256" s="1712" customFormat="1" ht="16">
      <c r="A35" s="1814"/>
      <c r="B35" s="2947"/>
      <c r="C35" s="1820" t="str">
        <f t="shared" si="9"/>
        <v>(11)</v>
      </c>
      <c r="D35" s="1820"/>
      <c r="E35" s="1842"/>
      <c r="F35" s="1833">
        <f t="shared" si="15"/>
        <v>0</v>
      </c>
      <c r="G35" s="1834"/>
      <c r="H35" s="1834"/>
      <c r="I35" s="1834"/>
      <c r="J35" s="1834"/>
      <c r="K35" s="1834"/>
      <c r="L35" s="1834"/>
      <c r="M35" s="1834"/>
      <c r="N35" s="1835"/>
      <c r="IA35" s="1713"/>
      <c r="IB35" s="1713"/>
      <c r="IC35" s="1713"/>
      <c r="ID35" s="1713"/>
      <c r="IE35" s="1713"/>
      <c r="IF35" s="1713"/>
      <c r="IG35" s="1713"/>
      <c r="IH35" s="1713"/>
      <c r="II35" s="1713"/>
      <c r="IJ35" s="1713"/>
      <c r="IK35" s="1713"/>
      <c r="IL35" s="1713"/>
      <c r="IM35" s="1713"/>
      <c r="IN35" s="1713"/>
      <c r="IO35" s="1713"/>
      <c r="IP35" s="1713"/>
      <c r="IQ35" s="1713"/>
      <c r="IR35" s="1713"/>
      <c r="IS35" s="1713"/>
      <c r="IT35" s="1713"/>
      <c r="IU35" s="1713"/>
      <c r="IV35" s="1713"/>
    </row>
    <row r="36" spans="1:256" s="1712" customFormat="1" ht="16">
      <c r="A36" s="1814"/>
      <c r="B36" s="2948"/>
      <c r="C36" s="1826" t="str">
        <f t="shared" si="9"/>
        <v>(12)</v>
      </c>
      <c r="D36" s="1826"/>
      <c r="E36" s="1827"/>
      <c r="F36" s="1828">
        <f t="shared" si="15"/>
        <v>0</v>
      </c>
      <c r="G36" s="1843"/>
      <c r="H36" s="1843"/>
      <c r="I36" s="1843"/>
      <c r="J36" s="1843"/>
      <c r="K36" s="1843"/>
      <c r="L36" s="1843"/>
      <c r="M36" s="1843"/>
      <c r="N36" s="1844"/>
      <c r="IA36" s="1713"/>
      <c r="IB36" s="1713"/>
      <c r="IC36" s="1713"/>
      <c r="ID36" s="1713"/>
      <c r="IE36" s="1713"/>
      <c r="IF36" s="1713"/>
      <c r="IG36" s="1713"/>
      <c r="IH36" s="1713"/>
      <c r="II36" s="1713"/>
      <c r="IJ36" s="1713"/>
      <c r="IK36" s="1713"/>
      <c r="IL36" s="1713"/>
      <c r="IM36" s="1713"/>
      <c r="IN36" s="1713"/>
      <c r="IO36" s="1713"/>
      <c r="IP36" s="1713"/>
      <c r="IQ36" s="1713"/>
      <c r="IR36" s="1713"/>
      <c r="IS36" s="1713"/>
      <c r="IT36" s="1713"/>
      <c r="IU36" s="1713"/>
      <c r="IV36" s="1713"/>
    </row>
    <row r="37" spans="1:256" s="1712" customFormat="1" ht="13.5" customHeight="1">
      <c r="A37" s="1814"/>
      <c r="B37" s="2946" t="s">
        <v>2544</v>
      </c>
      <c r="C37" s="1815" t="str">
        <f t="shared" si="9"/>
        <v>(13)残材処分費及び残土処分費（直工費のみ）</v>
      </c>
      <c r="D37" s="1815"/>
      <c r="E37" s="1816"/>
      <c r="F37" s="1817">
        <f t="shared" si="15"/>
        <v>0</v>
      </c>
      <c r="G37" s="1840"/>
      <c r="H37" s="1840"/>
      <c r="I37" s="1840"/>
      <c r="J37" s="1840"/>
      <c r="K37" s="1840"/>
      <c r="L37" s="1840"/>
      <c r="M37" s="1840"/>
      <c r="N37" s="1841"/>
      <c r="IA37" s="1713"/>
      <c r="IB37" s="1713"/>
      <c r="IC37" s="1713"/>
      <c r="ID37" s="1713"/>
      <c r="IE37" s="1713"/>
      <c r="IF37" s="1713"/>
      <c r="IG37" s="1713"/>
      <c r="IH37" s="1713"/>
      <c r="II37" s="1713"/>
      <c r="IJ37" s="1713"/>
      <c r="IK37" s="1713"/>
      <c r="IL37" s="1713"/>
      <c r="IM37" s="1713"/>
      <c r="IN37" s="1713"/>
      <c r="IO37" s="1713"/>
      <c r="IP37" s="1713"/>
      <c r="IQ37" s="1713"/>
      <c r="IR37" s="1713"/>
      <c r="IS37" s="1713"/>
      <c r="IT37" s="1713"/>
      <c r="IU37" s="1713"/>
      <c r="IV37" s="1713"/>
    </row>
    <row r="38" spans="1:256" s="1712" customFormat="1" ht="16">
      <c r="A38" s="1814"/>
      <c r="B38" s="2947"/>
      <c r="C38" s="1820" t="str">
        <f t="shared" si="9"/>
        <v>(14)残材処分費及び残土処分費(共通仮設)</v>
      </c>
      <c r="D38" s="1820"/>
      <c r="E38" s="1842"/>
      <c r="F38" s="1833">
        <f t="shared" si="15"/>
        <v>0</v>
      </c>
      <c r="G38" s="1834"/>
      <c r="H38" s="1834"/>
      <c r="I38" s="1834"/>
      <c r="J38" s="1834"/>
      <c r="K38" s="1834"/>
      <c r="L38" s="1834"/>
      <c r="M38" s="1834"/>
      <c r="N38" s="1835"/>
      <c r="IA38" s="1713"/>
      <c r="IB38" s="1713"/>
      <c r="IC38" s="1713"/>
      <c r="ID38" s="1713"/>
      <c r="IE38" s="1713"/>
      <c r="IF38" s="1713"/>
      <c r="IG38" s="1713"/>
      <c r="IH38" s="1713"/>
      <c r="II38" s="1713"/>
      <c r="IJ38" s="1713"/>
      <c r="IK38" s="1713"/>
      <c r="IL38" s="1713"/>
      <c r="IM38" s="1713"/>
      <c r="IN38" s="1713"/>
      <c r="IO38" s="1713"/>
      <c r="IP38" s="1713"/>
      <c r="IQ38" s="1713"/>
      <c r="IR38" s="1713"/>
      <c r="IS38" s="1713"/>
      <c r="IT38" s="1713"/>
      <c r="IU38" s="1713"/>
      <c r="IV38" s="1713"/>
    </row>
    <row r="39" spans="1:256" s="1712" customFormat="1" ht="16">
      <c r="A39" s="1814"/>
      <c r="B39" s="2947"/>
      <c r="C39" s="1820" t="str">
        <f t="shared" si="9"/>
        <v>(15)リース料</v>
      </c>
      <c r="D39" s="1820"/>
      <c r="E39" s="1842"/>
      <c r="F39" s="1833">
        <f t="shared" si="15"/>
        <v>0</v>
      </c>
      <c r="G39" s="1834"/>
      <c r="H39" s="1834"/>
      <c r="I39" s="1834"/>
      <c r="J39" s="1834"/>
      <c r="K39" s="1834"/>
      <c r="L39" s="1834"/>
      <c r="M39" s="1834"/>
      <c r="N39" s="1835"/>
      <c r="IA39" s="1713"/>
      <c r="IB39" s="1713"/>
      <c r="IC39" s="1713"/>
      <c r="ID39" s="1713"/>
      <c r="IE39" s="1713"/>
      <c r="IF39" s="1713"/>
      <c r="IG39" s="1713"/>
      <c r="IH39" s="1713"/>
      <c r="II39" s="1713"/>
      <c r="IJ39" s="1713"/>
      <c r="IK39" s="1713"/>
      <c r="IL39" s="1713"/>
      <c r="IM39" s="1713"/>
      <c r="IN39" s="1713"/>
      <c r="IO39" s="1713"/>
      <c r="IP39" s="1713"/>
      <c r="IQ39" s="1713"/>
      <c r="IR39" s="1713"/>
      <c r="IS39" s="1713"/>
      <c r="IT39" s="1713"/>
      <c r="IU39" s="1713"/>
      <c r="IV39" s="1713"/>
    </row>
    <row r="40" spans="1:256" s="1712" customFormat="1" ht="16">
      <c r="A40" s="1814"/>
      <c r="B40" s="2947"/>
      <c r="C40" s="1820" t="str">
        <f t="shared" si="9"/>
        <v>(16)借地借家料（共通仮設）</v>
      </c>
      <c r="D40" s="1845"/>
      <c r="E40" s="1846"/>
      <c r="F40" s="1847">
        <f t="shared" si="15"/>
        <v>0</v>
      </c>
      <c r="G40" s="1848"/>
      <c r="H40" s="1848"/>
      <c r="I40" s="1848"/>
      <c r="J40" s="1848"/>
      <c r="K40" s="1848"/>
      <c r="L40" s="1848"/>
      <c r="M40" s="1848"/>
      <c r="N40" s="1849"/>
      <c r="IA40" s="1713"/>
      <c r="IB40" s="1713"/>
      <c r="IC40" s="1713"/>
      <c r="ID40" s="1713"/>
      <c r="IE40" s="1713"/>
      <c r="IF40" s="1713"/>
      <c r="IG40" s="1713"/>
      <c r="IH40" s="1713"/>
      <c r="II40" s="1713"/>
      <c r="IJ40" s="1713"/>
      <c r="IK40" s="1713"/>
      <c r="IL40" s="1713"/>
      <c r="IM40" s="1713"/>
      <c r="IN40" s="1713"/>
      <c r="IO40" s="1713"/>
      <c r="IP40" s="1713"/>
      <c r="IQ40" s="1713"/>
      <c r="IR40" s="1713"/>
      <c r="IS40" s="1713"/>
      <c r="IT40" s="1713"/>
      <c r="IU40" s="1713"/>
      <c r="IV40" s="1713"/>
    </row>
    <row r="41" spans="1:256" s="1712" customFormat="1" ht="16">
      <c r="A41" s="1814"/>
      <c r="B41" s="2947"/>
      <c r="C41" s="1820" t="str">
        <f t="shared" si="9"/>
        <v>(17)別途算定（直工費）</v>
      </c>
      <c r="D41" s="1820"/>
      <c r="E41" s="1842"/>
      <c r="F41" s="1833">
        <f t="shared" si="15"/>
        <v>0</v>
      </c>
      <c r="G41" s="1850"/>
      <c r="H41" s="1850"/>
      <c r="I41" s="1850"/>
      <c r="J41" s="1850"/>
      <c r="K41" s="1850"/>
      <c r="L41" s="1850"/>
      <c r="M41" s="1850"/>
      <c r="N41" s="1851"/>
      <c r="IA41" s="1713"/>
      <c r="IB41" s="1713"/>
      <c r="IC41" s="1713"/>
      <c r="ID41" s="1713"/>
      <c r="IE41" s="1713"/>
      <c r="IF41" s="1713"/>
      <c r="IG41" s="1713"/>
      <c r="IH41" s="1713"/>
      <c r="II41" s="1713"/>
      <c r="IJ41" s="1713"/>
      <c r="IK41" s="1713"/>
      <c r="IL41" s="1713"/>
      <c r="IM41" s="1713"/>
      <c r="IN41" s="1713"/>
      <c r="IO41" s="1713"/>
      <c r="IP41" s="1713"/>
      <c r="IQ41" s="1713"/>
      <c r="IR41" s="1713"/>
      <c r="IS41" s="1713"/>
      <c r="IT41" s="1713"/>
      <c r="IU41" s="1713"/>
      <c r="IV41" s="1713"/>
    </row>
    <row r="42" spans="1:256" s="1712" customFormat="1" ht="16">
      <c r="A42" s="1814"/>
      <c r="B42" s="2947"/>
      <c r="C42" s="1820" t="str">
        <f t="shared" si="9"/>
        <v>(18)別途算定（共通仮設）</v>
      </c>
      <c r="D42" s="1820"/>
      <c r="E42" s="1842"/>
      <c r="F42" s="1833">
        <f t="shared" si="15"/>
        <v>0</v>
      </c>
      <c r="G42" s="1850"/>
      <c r="H42" s="1850"/>
      <c r="I42" s="1850"/>
      <c r="J42" s="1850"/>
      <c r="K42" s="1850"/>
      <c r="L42" s="1850"/>
      <c r="M42" s="1850"/>
      <c r="N42" s="1851"/>
      <c r="IA42" s="1713"/>
      <c r="IB42" s="1713"/>
      <c r="IC42" s="1713"/>
      <c r="ID42" s="1713"/>
      <c r="IE42" s="1713"/>
      <c r="IF42" s="1713"/>
      <c r="IG42" s="1713"/>
      <c r="IH42" s="1713"/>
      <c r="II42" s="1713"/>
      <c r="IJ42" s="1713"/>
      <c r="IK42" s="1713"/>
      <c r="IL42" s="1713"/>
      <c r="IM42" s="1713"/>
      <c r="IN42" s="1713"/>
      <c r="IO42" s="1713"/>
      <c r="IP42" s="1713"/>
      <c r="IQ42" s="1713"/>
      <c r="IR42" s="1713"/>
      <c r="IS42" s="1713"/>
      <c r="IT42" s="1713"/>
      <c r="IU42" s="1713"/>
      <c r="IV42" s="1713"/>
    </row>
    <row r="43" spans="1:256" s="1712" customFormat="1" ht="16">
      <c r="A43" s="1852"/>
      <c r="B43" s="2948"/>
      <c r="C43" s="1826" t="str">
        <f t="shared" si="9"/>
        <v>(19)下水道使用料、各種負担金（共通仮設）</v>
      </c>
      <c r="D43" s="1826"/>
      <c r="E43" s="1827"/>
      <c r="F43" s="1828">
        <f t="shared" si="15"/>
        <v>0</v>
      </c>
      <c r="G43" s="1843"/>
      <c r="H43" s="1843"/>
      <c r="I43" s="1843"/>
      <c r="J43" s="1843"/>
      <c r="K43" s="1843"/>
      <c r="L43" s="1843"/>
      <c r="M43" s="1843"/>
      <c r="N43" s="1844"/>
      <c r="IA43" s="1713"/>
      <c r="IB43" s="1713"/>
      <c r="IC43" s="1713"/>
      <c r="ID43" s="1713"/>
      <c r="IE43" s="1713"/>
      <c r="IF43" s="1713"/>
      <c r="IG43" s="1713"/>
      <c r="IH43" s="1713"/>
      <c r="II43" s="1713"/>
      <c r="IJ43" s="1713"/>
      <c r="IK43" s="1713"/>
      <c r="IL43" s="1713"/>
      <c r="IM43" s="1713"/>
      <c r="IN43" s="1713"/>
      <c r="IO43" s="1713"/>
      <c r="IP43" s="1713"/>
      <c r="IQ43" s="1713"/>
      <c r="IR43" s="1713"/>
      <c r="IS43" s="1713"/>
      <c r="IT43" s="1713"/>
      <c r="IU43" s="1713"/>
      <c r="IV43" s="1713"/>
    </row>
    <row r="44" spans="1:256" s="1712" customFormat="1" ht="16">
      <c r="A44" s="2972" t="s">
        <v>2832</v>
      </c>
      <c r="B44" s="2972"/>
      <c r="C44" s="2973"/>
      <c r="D44" s="1853"/>
      <c r="E44" s="1854"/>
      <c r="F44" s="1855"/>
      <c r="G44" s="1856"/>
      <c r="H44" s="1856"/>
      <c r="I44" s="1856"/>
      <c r="J44" s="1856"/>
      <c r="K44" s="1856"/>
      <c r="L44" s="1856"/>
      <c r="M44" s="1856"/>
      <c r="N44" s="1857"/>
      <c r="IA44" s="1713"/>
      <c r="IB44" s="1713"/>
      <c r="IC44" s="1713"/>
      <c r="ID44" s="1713"/>
      <c r="IE44" s="1713"/>
      <c r="IF44" s="1713"/>
      <c r="IG44" s="1713"/>
      <c r="IH44" s="1713"/>
      <c r="II44" s="1713"/>
      <c r="IJ44" s="1713"/>
      <c r="IK44" s="1713"/>
      <c r="IL44" s="1713"/>
      <c r="IM44" s="1713"/>
      <c r="IN44" s="1713"/>
      <c r="IO44" s="1713"/>
      <c r="IP44" s="1713"/>
      <c r="IQ44" s="1713"/>
      <c r="IR44" s="1713"/>
      <c r="IS44" s="1713"/>
      <c r="IT44" s="1713"/>
      <c r="IU44" s="1713"/>
      <c r="IV44" s="1713"/>
    </row>
    <row r="45" spans="1:256" s="1712" customFormat="1" ht="13.5" customHeight="1">
      <c r="A45" s="2961"/>
      <c r="B45" s="1858" t="s">
        <v>2733</v>
      </c>
      <c r="C45" s="1859" t="s">
        <v>2734</v>
      </c>
      <c r="D45" s="1860"/>
      <c r="E45" s="1861"/>
      <c r="F45" s="1862">
        <f t="shared" ref="F45:F51" si="16">SUM(G45:N45)</f>
        <v>0</v>
      </c>
      <c r="G45" s="1863">
        <f t="shared" ref="G45:N45" si="17">+(G374+G376)-(G161+G163)</f>
        <v>0</v>
      </c>
      <c r="H45" s="1863">
        <f t="shared" si="17"/>
        <v>0</v>
      </c>
      <c r="I45" s="1863">
        <f t="shared" si="17"/>
        <v>0</v>
      </c>
      <c r="J45" s="1863">
        <f>+(J374+J376)-(J161+J163)</f>
        <v>0</v>
      </c>
      <c r="K45" s="1863">
        <f>+(K374+K376)-(K161+K163)</f>
        <v>0</v>
      </c>
      <c r="L45" s="1863">
        <f t="shared" si="17"/>
        <v>0</v>
      </c>
      <c r="M45" s="1863">
        <f t="shared" si="17"/>
        <v>0</v>
      </c>
      <c r="N45" s="1864">
        <f t="shared" si="17"/>
        <v>0</v>
      </c>
      <c r="IA45" s="1713"/>
      <c r="IB45" s="1713"/>
      <c r="IC45" s="1713"/>
      <c r="ID45" s="1713"/>
      <c r="IE45" s="1713"/>
      <c r="IF45" s="1713"/>
      <c r="IG45" s="1713"/>
      <c r="IH45" s="1713"/>
      <c r="II45" s="1713"/>
      <c r="IJ45" s="1713"/>
      <c r="IK45" s="1713"/>
      <c r="IL45" s="1713"/>
      <c r="IM45" s="1713"/>
      <c r="IN45" s="1713"/>
      <c r="IO45" s="1713"/>
      <c r="IP45" s="1713"/>
      <c r="IQ45" s="1713"/>
      <c r="IR45" s="1713"/>
      <c r="IS45" s="1713"/>
      <c r="IT45" s="1713"/>
      <c r="IU45" s="1713"/>
      <c r="IV45" s="1713"/>
    </row>
    <row r="46" spans="1:256" s="1712" customFormat="1" ht="16">
      <c r="A46" s="2961"/>
      <c r="B46" s="1865" t="s">
        <v>2735</v>
      </c>
      <c r="C46" s="1866" t="s">
        <v>2833</v>
      </c>
      <c r="D46" s="1860"/>
      <c r="E46" s="1861"/>
      <c r="F46" s="1862">
        <f t="shared" si="16"/>
        <v>0</v>
      </c>
      <c r="G46" s="1863">
        <f t="shared" ref="G46:N46" si="18">SUM(G377:G381)-SUM(G164:G168)</f>
        <v>0</v>
      </c>
      <c r="H46" s="1863">
        <f t="shared" si="18"/>
        <v>0</v>
      </c>
      <c r="I46" s="1863">
        <f t="shared" si="18"/>
        <v>0</v>
      </c>
      <c r="J46" s="1863">
        <f>SUM(J377:J381)-SUM(J164:J168)</f>
        <v>0</v>
      </c>
      <c r="K46" s="1863">
        <f>SUM(K377:K381)-SUM(K164:K168)</f>
        <v>0</v>
      </c>
      <c r="L46" s="1863">
        <f t="shared" si="18"/>
        <v>0</v>
      </c>
      <c r="M46" s="1863">
        <f t="shared" si="18"/>
        <v>0</v>
      </c>
      <c r="N46" s="1864">
        <f t="shared" si="18"/>
        <v>0</v>
      </c>
      <c r="IA46" s="1713"/>
      <c r="IB46" s="1713"/>
      <c r="IC46" s="1713"/>
      <c r="ID46" s="1713"/>
      <c r="IE46" s="1713"/>
      <c r="IF46" s="1713"/>
      <c r="IG46" s="1713"/>
      <c r="IH46" s="1713"/>
      <c r="II46" s="1713"/>
      <c r="IJ46" s="1713"/>
      <c r="IK46" s="1713"/>
      <c r="IL46" s="1713"/>
      <c r="IM46" s="1713"/>
      <c r="IN46" s="1713"/>
      <c r="IO46" s="1713"/>
      <c r="IP46" s="1713"/>
      <c r="IQ46" s="1713"/>
      <c r="IR46" s="1713"/>
      <c r="IS46" s="1713"/>
      <c r="IT46" s="1713"/>
      <c r="IU46" s="1713"/>
      <c r="IV46" s="1713"/>
    </row>
    <row r="47" spans="1:256" s="1712" customFormat="1" ht="16">
      <c r="A47" s="2961"/>
      <c r="B47" s="1867" t="s">
        <v>477</v>
      </c>
      <c r="C47" s="1866" t="s">
        <v>2834</v>
      </c>
      <c r="D47" s="1860">
        <f>IF(OR($AA$2="下請け",$AA$2="下請"),0.6,1)</f>
        <v>1</v>
      </c>
      <c r="E47" s="1861">
        <v>0.02</v>
      </c>
      <c r="F47" s="1862">
        <f t="shared" si="16"/>
        <v>0</v>
      </c>
      <c r="G47" s="1863">
        <f t="shared" ref="G47:N47" si="19">SUM(G382:G383)-SUM(G169:G170)</f>
        <v>0</v>
      </c>
      <c r="H47" s="1863">
        <f t="shared" si="19"/>
        <v>0</v>
      </c>
      <c r="I47" s="1863">
        <f t="shared" si="19"/>
        <v>0</v>
      </c>
      <c r="J47" s="1863">
        <f>SUM(J382:J383)-SUM(J169:J170)</f>
        <v>0</v>
      </c>
      <c r="K47" s="1863">
        <f>SUM(K382:K383)-SUM(K169:K170)</f>
        <v>0</v>
      </c>
      <c r="L47" s="1863">
        <f t="shared" si="19"/>
        <v>0</v>
      </c>
      <c r="M47" s="1863">
        <f t="shared" si="19"/>
        <v>0</v>
      </c>
      <c r="N47" s="1864">
        <f t="shared" si="19"/>
        <v>0</v>
      </c>
      <c r="IA47" s="1713"/>
      <c r="IB47" s="1713"/>
      <c r="IC47" s="1713"/>
      <c r="ID47" s="1713"/>
      <c r="IE47" s="1713"/>
      <c r="IF47" s="1713"/>
      <c r="IG47" s="1713"/>
      <c r="IH47" s="1713"/>
      <c r="II47" s="1713"/>
      <c r="IJ47" s="1713"/>
      <c r="IK47" s="1713"/>
      <c r="IL47" s="1713"/>
      <c r="IM47" s="1713"/>
      <c r="IN47" s="1713"/>
      <c r="IO47" s="1713"/>
      <c r="IP47" s="1713"/>
      <c r="IQ47" s="1713"/>
      <c r="IR47" s="1713"/>
      <c r="IS47" s="1713"/>
      <c r="IT47" s="1713"/>
      <c r="IU47" s="1713"/>
      <c r="IV47" s="1713"/>
    </row>
    <row r="48" spans="1:256" s="1712" customFormat="1" ht="13.5" customHeight="1">
      <c r="A48" s="2961"/>
      <c r="B48" s="1868" t="s">
        <v>2835</v>
      </c>
      <c r="C48" s="1869" t="s">
        <v>2739</v>
      </c>
      <c r="D48" s="1870">
        <f>IF(OR($AA$2="下請け",$AA$2="下請"),0.6,1)</f>
        <v>1</v>
      </c>
      <c r="E48" s="1871">
        <v>0</v>
      </c>
      <c r="F48" s="1872">
        <f t="shared" si="16"/>
        <v>0</v>
      </c>
      <c r="G48" s="1873">
        <v>0</v>
      </c>
      <c r="H48" s="1873">
        <v>0</v>
      </c>
      <c r="I48" s="1873">
        <v>0</v>
      </c>
      <c r="J48" s="1873">
        <v>0</v>
      </c>
      <c r="K48" s="1873">
        <v>0</v>
      </c>
      <c r="L48" s="1873">
        <v>0</v>
      </c>
      <c r="M48" s="1873">
        <v>0</v>
      </c>
      <c r="N48" s="1874">
        <v>0</v>
      </c>
      <c r="IA48" s="1713"/>
      <c r="IB48" s="1713"/>
      <c r="IC48" s="1713"/>
      <c r="ID48" s="1713"/>
      <c r="IE48" s="1713"/>
      <c r="IF48" s="1713"/>
      <c r="IG48" s="1713"/>
      <c r="IH48" s="1713"/>
      <c r="II48" s="1713"/>
      <c r="IJ48" s="1713"/>
      <c r="IK48" s="1713"/>
      <c r="IL48" s="1713"/>
      <c r="IM48" s="1713"/>
      <c r="IN48" s="1713"/>
      <c r="IO48" s="1713"/>
      <c r="IP48" s="1713"/>
      <c r="IQ48" s="1713"/>
      <c r="IR48" s="1713"/>
      <c r="IS48" s="1713"/>
      <c r="IT48" s="1713"/>
      <c r="IU48" s="1713"/>
      <c r="IV48" s="1713"/>
    </row>
    <row r="49" spans="1:256" s="1712" customFormat="1" ht="16">
      <c r="A49" s="1875"/>
      <c r="B49" s="2964" t="s">
        <v>2836</v>
      </c>
      <c r="C49" s="2965"/>
      <c r="D49" s="1876"/>
      <c r="E49" s="1877"/>
      <c r="F49" s="1878">
        <f t="shared" si="16"/>
        <v>0</v>
      </c>
      <c r="G49" s="1863">
        <f t="shared" ref="G49:N49" si="20">G385-G172</f>
        <v>0</v>
      </c>
      <c r="H49" s="1863">
        <f t="shared" si="20"/>
        <v>0</v>
      </c>
      <c r="I49" s="1863">
        <f t="shared" si="20"/>
        <v>0</v>
      </c>
      <c r="J49" s="1863">
        <f>J385-J172</f>
        <v>0</v>
      </c>
      <c r="K49" s="1863">
        <f>K385-K172</f>
        <v>0</v>
      </c>
      <c r="L49" s="1863">
        <f t="shared" si="20"/>
        <v>0</v>
      </c>
      <c r="M49" s="1863">
        <f t="shared" si="20"/>
        <v>0</v>
      </c>
      <c r="N49" s="1864">
        <f t="shared" si="20"/>
        <v>0</v>
      </c>
      <c r="IA49" s="1713"/>
      <c r="IB49" s="1713"/>
      <c r="IC49" s="1713"/>
      <c r="ID49" s="1713"/>
      <c r="IE49" s="1713"/>
      <c r="IF49" s="1713"/>
      <c r="IG49" s="1713"/>
      <c r="IH49" s="1713"/>
      <c r="II49" s="1713"/>
      <c r="IJ49" s="1713"/>
      <c r="IK49" s="1713"/>
      <c r="IL49" s="1713"/>
      <c r="IM49" s="1713"/>
      <c r="IN49" s="1713"/>
      <c r="IO49" s="1713"/>
      <c r="IP49" s="1713"/>
      <c r="IQ49" s="1713"/>
      <c r="IR49" s="1713"/>
      <c r="IS49" s="1713"/>
      <c r="IT49" s="1713"/>
      <c r="IU49" s="1713"/>
      <c r="IV49" s="1713"/>
    </row>
    <row r="50" spans="1:256" s="1712" customFormat="1" ht="16">
      <c r="A50" s="1875"/>
      <c r="B50" s="1879"/>
      <c r="C50" s="1880" t="s">
        <v>2566</v>
      </c>
      <c r="D50" s="1876"/>
      <c r="E50" s="1877"/>
      <c r="F50" s="1878">
        <f t="shared" si="16"/>
        <v>0</v>
      </c>
      <c r="G50" s="1863">
        <f t="shared" ref="G50:N50" si="21">IF(G$13=0,IF(G$8=G$87,G$49,0),0)</f>
        <v>0</v>
      </c>
      <c r="H50" s="1863">
        <f t="shared" si="21"/>
        <v>0</v>
      </c>
      <c r="I50" s="1863">
        <f t="shared" si="21"/>
        <v>0</v>
      </c>
      <c r="J50" s="1863">
        <f t="shared" si="21"/>
        <v>0</v>
      </c>
      <c r="K50" s="1863">
        <f t="shared" si="21"/>
        <v>0</v>
      </c>
      <c r="L50" s="1863">
        <f t="shared" si="21"/>
        <v>0</v>
      </c>
      <c r="M50" s="1863">
        <f t="shared" si="21"/>
        <v>0</v>
      </c>
      <c r="N50" s="1864">
        <f t="shared" si="21"/>
        <v>0</v>
      </c>
      <c r="IA50" s="1713"/>
      <c r="IB50" s="1713"/>
      <c r="IC50" s="1713"/>
      <c r="ID50" s="1713"/>
      <c r="IE50" s="1713"/>
      <c r="IF50" s="1713"/>
      <c r="IG50" s="1713"/>
      <c r="IH50" s="1713"/>
      <c r="II50" s="1713"/>
      <c r="IJ50" s="1713"/>
      <c r="IK50" s="1713"/>
      <c r="IL50" s="1713"/>
      <c r="IM50" s="1713"/>
      <c r="IN50" s="1713"/>
      <c r="IO50" s="1713"/>
      <c r="IP50" s="1713"/>
      <c r="IQ50" s="1713"/>
      <c r="IR50" s="1713"/>
      <c r="IS50" s="1713"/>
      <c r="IT50" s="1713"/>
      <c r="IU50" s="1713"/>
      <c r="IV50" s="1713"/>
    </row>
    <row r="51" spans="1:256" s="1712" customFormat="1" ht="16">
      <c r="A51" s="1875"/>
      <c r="B51" s="1879"/>
      <c r="C51" s="1880" t="s">
        <v>2521</v>
      </c>
      <c r="D51" s="1876"/>
      <c r="E51" s="1877"/>
      <c r="F51" s="1878">
        <f t="shared" si="16"/>
        <v>0</v>
      </c>
      <c r="G51" s="1863">
        <f t="shared" ref="G51:N51" si="22">G13-G41</f>
        <v>0</v>
      </c>
      <c r="H51" s="1863">
        <f t="shared" si="22"/>
        <v>0</v>
      </c>
      <c r="I51" s="1863">
        <f t="shared" si="22"/>
        <v>0</v>
      </c>
      <c r="J51" s="1863">
        <f>J13-J41</f>
        <v>0</v>
      </c>
      <c r="K51" s="1863">
        <f>K13-K41</f>
        <v>0</v>
      </c>
      <c r="L51" s="1863">
        <f t="shared" si="22"/>
        <v>0</v>
      </c>
      <c r="M51" s="1863">
        <f t="shared" si="22"/>
        <v>0</v>
      </c>
      <c r="N51" s="1864">
        <f t="shared" si="22"/>
        <v>0</v>
      </c>
      <c r="IA51" s="1713"/>
      <c r="IB51" s="1713"/>
      <c r="IC51" s="1713"/>
      <c r="ID51" s="1713"/>
      <c r="IE51" s="1713"/>
      <c r="IF51" s="1713"/>
      <c r="IG51" s="1713"/>
      <c r="IH51" s="1713"/>
      <c r="II51" s="1713"/>
      <c r="IJ51" s="1713"/>
      <c r="IK51" s="1713"/>
      <c r="IL51" s="1713"/>
      <c r="IM51" s="1713"/>
      <c r="IN51" s="1713"/>
      <c r="IO51" s="1713"/>
      <c r="IP51" s="1713"/>
      <c r="IQ51" s="1713"/>
      <c r="IR51" s="1713"/>
      <c r="IS51" s="1713"/>
      <c r="IT51" s="1713"/>
      <c r="IU51" s="1713"/>
      <c r="IV51" s="1713"/>
    </row>
    <row r="52" spans="1:256" s="1712" customFormat="1" ht="16">
      <c r="A52" s="1875"/>
      <c r="B52" s="1879"/>
      <c r="C52" s="1880" t="s">
        <v>2837</v>
      </c>
      <c r="D52" s="1876"/>
      <c r="E52" s="1877"/>
      <c r="F52" s="1878">
        <f>SUM(G52:P52)</f>
        <v>0</v>
      </c>
      <c r="G52" s="1863">
        <f t="shared" ref="G52:N52" si="23">IF($F$50=0,0,IF(G50=0,INT(G51/$F51*$F50),0))</f>
        <v>0</v>
      </c>
      <c r="H52" s="1863">
        <f t="shared" si="23"/>
        <v>0</v>
      </c>
      <c r="I52" s="1863">
        <f t="shared" si="23"/>
        <v>0</v>
      </c>
      <c r="J52" s="1863">
        <f>IF($F$50=0,0,IF(J50=0,INT(J51/$F51*$F50),0))</f>
        <v>0</v>
      </c>
      <c r="K52" s="1863">
        <f>IF($F$50=0,0,IF(K50=0,INT(K51/$F51*$F50),0))</f>
        <v>0</v>
      </c>
      <c r="L52" s="1863">
        <f t="shared" si="23"/>
        <v>0</v>
      </c>
      <c r="M52" s="1863">
        <f t="shared" si="23"/>
        <v>0</v>
      </c>
      <c r="N52" s="1864">
        <f t="shared" si="23"/>
        <v>0</v>
      </c>
      <c r="IA52" s="1713"/>
      <c r="IB52" s="1713"/>
      <c r="IC52" s="1713"/>
      <c r="ID52" s="1713"/>
      <c r="IE52" s="1713"/>
      <c r="IF52" s="1713"/>
      <c r="IG52" s="1713"/>
      <c r="IH52" s="1713"/>
      <c r="II52" s="1713"/>
      <c r="IJ52" s="1713"/>
      <c r="IK52" s="1713"/>
      <c r="IL52" s="1713"/>
      <c r="IM52" s="1713"/>
      <c r="IN52" s="1713"/>
      <c r="IO52" s="1713"/>
      <c r="IP52" s="1713"/>
      <c r="IQ52" s="1713"/>
      <c r="IR52" s="1713"/>
      <c r="IS52" s="1713"/>
      <c r="IT52" s="1713"/>
      <c r="IU52" s="1713"/>
      <c r="IV52" s="1713"/>
    </row>
    <row r="53" spans="1:256" s="1712" customFormat="1" ht="16">
      <c r="A53" s="1875"/>
      <c r="B53" s="1879"/>
      <c r="C53" s="1880" t="s">
        <v>2838</v>
      </c>
      <c r="D53" s="1876"/>
      <c r="E53" s="1877"/>
      <c r="F53" s="1878">
        <f>F50-F52</f>
        <v>0</v>
      </c>
      <c r="G53" s="1863">
        <f>IF($F53=0,0,IF(G52=0,0,$F53))</f>
        <v>0</v>
      </c>
      <c r="H53" s="1863">
        <f>IF($F53=0,0,IF(H52=0,0,IF(SUM($G53:G53)=0,$F53,0)))</f>
        <v>0</v>
      </c>
      <c r="I53" s="1863">
        <f>IF($F53=0,0,IF(I52=0,0,IF(SUM($G53:H53)=0,$F53,0)))</f>
        <v>0</v>
      </c>
      <c r="J53" s="1863">
        <f>IF($F53=0,0,IF(J52=0,0,IF(SUM($G53:I53)=0,$F53,0)))</f>
        <v>0</v>
      </c>
      <c r="K53" s="1863">
        <f>IF($F53=0,0,IF(K52=0,0,IF(SUM($G53:J53)=0,$F53,0)))</f>
        <v>0</v>
      </c>
      <c r="L53" s="1863">
        <f>IF($F53=0,0,IF(L52=0,0,IF(SUM($G53:I53)=0,$F53,0)))</f>
        <v>0</v>
      </c>
      <c r="M53" s="1863">
        <f>IF($F53=0,0,IF(M52=0,0,IF(SUM($G53:L53)=0,$F53,0)))</f>
        <v>0</v>
      </c>
      <c r="N53" s="1864">
        <f>IF($F53=0,0,IF(N52=0,0,IF(SUM($G53:M53)=0,$F53,0)))</f>
        <v>0</v>
      </c>
      <c r="IA53" s="1713"/>
      <c r="IB53" s="1713"/>
      <c r="IC53" s="1713"/>
      <c r="ID53" s="1713"/>
      <c r="IE53" s="1713"/>
      <c r="IF53" s="1713"/>
      <c r="IG53" s="1713"/>
      <c r="IH53" s="1713"/>
      <c r="II53" s="1713"/>
      <c r="IJ53" s="1713"/>
      <c r="IK53" s="1713"/>
      <c r="IL53" s="1713"/>
      <c r="IM53" s="1713"/>
      <c r="IN53" s="1713"/>
      <c r="IO53" s="1713"/>
      <c r="IP53" s="1713"/>
      <c r="IQ53" s="1713"/>
      <c r="IR53" s="1713"/>
      <c r="IS53" s="1713"/>
      <c r="IT53" s="1713"/>
      <c r="IU53" s="1713"/>
      <c r="IV53" s="1713"/>
    </row>
    <row r="54" spans="1:256" s="1712" customFormat="1" ht="17" thickBot="1">
      <c r="A54" s="1875"/>
      <c r="B54" s="2966" t="s">
        <v>2839</v>
      </c>
      <c r="C54" s="2967"/>
      <c r="D54" s="1881"/>
      <c r="E54" s="1882"/>
      <c r="F54" s="1883">
        <f>SUM(G54:P54)</f>
        <v>0</v>
      </c>
      <c r="G54" s="1829">
        <f t="shared" ref="G54:N54" si="24">IF(G42=0,IF(G13=0,IF(G8=G87,0,G49+G52+G53),G49+G52+G53),G42)</f>
        <v>0</v>
      </c>
      <c r="H54" s="1829">
        <f t="shared" si="24"/>
        <v>0</v>
      </c>
      <c r="I54" s="1829">
        <f t="shared" si="24"/>
        <v>0</v>
      </c>
      <c r="J54" s="1829">
        <f t="shared" si="24"/>
        <v>0</v>
      </c>
      <c r="K54" s="1829">
        <f t="shared" si="24"/>
        <v>0</v>
      </c>
      <c r="L54" s="1829">
        <f t="shared" si="24"/>
        <v>0</v>
      </c>
      <c r="M54" s="1829">
        <f t="shared" si="24"/>
        <v>0</v>
      </c>
      <c r="N54" s="1830">
        <f t="shared" si="24"/>
        <v>0</v>
      </c>
      <c r="IA54" s="1713"/>
      <c r="IB54" s="1713"/>
      <c r="IC54" s="1713"/>
      <c r="ID54" s="1713"/>
      <c r="IE54" s="1713"/>
      <c r="IF54" s="1713"/>
      <c r="IG54" s="1713"/>
      <c r="IH54" s="1713"/>
      <c r="II54" s="1713"/>
      <c r="IJ54" s="1713"/>
      <c r="IK54" s="1713"/>
      <c r="IL54" s="1713"/>
      <c r="IM54" s="1713"/>
      <c r="IN54" s="1713"/>
      <c r="IO54" s="1713"/>
      <c r="IP54" s="1713"/>
      <c r="IQ54" s="1713"/>
      <c r="IR54" s="1713"/>
      <c r="IS54" s="1713"/>
      <c r="IT54" s="1713"/>
      <c r="IU54" s="1713"/>
      <c r="IV54" s="1713"/>
    </row>
    <row r="55" spans="1:256" s="1712" customFormat="1" ht="16">
      <c r="A55" s="1884"/>
      <c r="B55" s="1885"/>
      <c r="C55" s="1886" t="s">
        <v>2730</v>
      </c>
      <c r="D55" s="1887"/>
      <c r="E55" s="1888"/>
      <c r="F55" s="1889">
        <f>SUM(G55:N55)</f>
        <v>0</v>
      </c>
      <c r="G55" s="1890">
        <f t="shared" ref="G55:N55" si="25">G13+G14</f>
        <v>0</v>
      </c>
      <c r="H55" s="1890">
        <f t="shared" si="25"/>
        <v>0</v>
      </c>
      <c r="I55" s="1890">
        <f t="shared" si="25"/>
        <v>0</v>
      </c>
      <c r="J55" s="1890">
        <f>J13+J14</f>
        <v>0</v>
      </c>
      <c r="K55" s="1890">
        <f>K13+K14</f>
        <v>0</v>
      </c>
      <c r="L55" s="1890">
        <f t="shared" si="25"/>
        <v>0</v>
      </c>
      <c r="M55" s="1890">
        <f t="shared" si="25"/>
        <v>0</v>
      </c>
      <c r="N55" s="1891">
        <f t="shared" si="25"/>
        <v>0</v>
      </c>
      <c r="IA55" s="1713"/>
      <c r="IB55" s="1713"/>
      <c r="IC55" s="1713"/>
      <c r="ID55" s="1713"/>
      <c r="IE55" s="1713"/>
      <c r="IF55" s="1713"/>
      <c r="IG55" s="1713"/>
      <c r="IH55" s="1713"/>
      <c r="II55" s="1713"/>
      <c r="IJ55" s="1713"/>
      <c r="IK55" s="1713"/>
      <c r="IL55" s="1713"/>
      <c r="IM55" s="1713"/>
      <c r="IN55" s="1713"/>
      <c r="IO55" s="1713"/>
      <c r="IP55" s="1713"/>
      <c r="IQ55" s="1713"/>
      <c r="IR55" s="1713"/>
      <c r="IS55" s="1713"/>
      <c r="IT55" s="1713"/>
      <c r="IU55" s="1713"/>
      <c r="IV55" s="1713"/>
    </row>
    <row r="56" spans="1:256" s="1712" customFormat="1" ht="16">
      <c r="A56" s="1892"/>
      <c r="B56" s="1893"/>
      <c r="C56" s="1894" t="s">
        <v>2731</v>
      </c>
      <c r="D56" s="1895"/>
      <c r="E56" s="1896"/>
      <c r="F56" s="1897">
        <f>SUM(G56:N56)</f>
        <v>0</v>
      </c>
      <c r="G56" s="1898">
        <f t="shared" ref="G56:N56" si="26">G317-G104</f>
        <v>0</v>
      </c>
      <c r="H56" s="1898">
        <f t="shared" si="26"/>
        <v>0</v>
      </c>
      <c r="I56" s="1898">
        <f t="shared" si="26"/>
        <v>0</v>
      </c>
      <c r="J56" s="1898">
        <f>J317-J104</f>
        <v>0</v>
      </c>
      <c r="K56" s="1898">
        <f>K317-K104</f>
        <v>0</v>
      </c>
      <c r="L56" s="1898">
        <f t="shared" si="26"/>
        <v>0</v>
      </c>
      <c r="M56" s="1898">
        <f t="shared" si="26"/>
        <v>0</v>
      </c>
      <c r="N56" s="1899">
        <f t="shared" si="26"/>
        <v>0</v>
      </c>
      <c r="IA56" s="1713"/>
      <c r="IB56" s="1713"/>
      <c r="IC56" s="1713"/>
      <c r="ID56" s="1713"/>
      <c r="IE56" s="1713"/>
      <c r="IF56" s="1713"/>
      <c r="IG56" s="1713"/>
      <c r="IH56" s="1713"/>
      <c r="II56" s="1713"/>
      <c r="IJ56" s="1713"/>
      <c r="IK56" s="1713"/>
      <c r="IL56" s="1713"/>
      <c r="IM56" s="1713"/>
      <c r="IN56" s="1713"/>
      <c r="IO56" s="1713"/>
      <c r="IP56" s="1713"/>
      <c r="IQ56" s="1713"/>
      <c r="IR56" s="1713"/>
      <c r="IS56" s="1713"/>
      <c r="IT56" s="1713"/>
      <c r="IU56" s="1713"/>
      <c r="IV56" s="1713"/>
    </row>
    <row r="57" spans="1:256" s="1712" customFormat="1" ht="16">
      <c r="A57" s="2972" t="s">
        <v>2840</v>
      </c>
      <c r="B57" s="2972"/>
      <c r="C57" s="2973"/>
      <c r="D57" s="1900"/>
      <c r="E57" s="1901"/>
      <c r="F57" s="1902"/>
      <c r="G57" s="1903"/>
      <c r="H57" s="1903"/>
      <c r="I57" s="1903"/>
      <c r="J57" s="1903"/>
      <c r="K57" s="1903"/>
      <c r="L57" s="1903"/>
      <c r="M57" s="1903"/>
      <c r="N57" s="1904"/>
      <c r="IA57" s="1713"/>
      <c r="IB57" s="1713"/>
      <c r="IC57" s="1713"/>
      <c r="ID57" s="1713"/>
      <c r="IE57" s="1713"/>
      <c r="IF57" s="1713"/>
      <c r="IG57" s="1713"/>
      <c r="IH57" s="1713"/>
      <c r="II57" s="1713"/>
      <c r="IJ57" s="1713"/>
      <c r="IK57" s="1713"/>
      <c r="IL57" s="1713"/>
      <c r="IM57" s="1713"/>
      <c r="IN57" s="1713"/>
      <c r="IO57" s="1713"/>
      <c r="IP57" s="1713"/>
      <c r="IQ57" s="1713"/>
      <c r="IR57" s="1713"/>
      <c r="IS57" s="1713"/>
      <c r="IT57" s="1713"/>
      <c r="IU57" s="1713"/>
      <c r="IV57" s="1713"/>
    </row>
    <row r="58" spans="1:256" s="1712" customFormat="1" ht="13.5" customHeight="1">
      <c r="A58" s="2961"/>
      <c r="B58" s="1858" t="s">
        <v>2733</v>
      </c>
      <c r="C58" s="1859" t="s">
        <v>2734</v>
      </c>
      <c r="D58" s="1860"/>
      <c r="E58" s="1861"/>
      <c r="F58" s="1862">
        <f t="shared" ref="F58:F65" si="27">SUM(G58:N58)</f>
        <v>0</v>
      </c>
      <c r="G58" s="1863">
        <f t="shared" ref="G58:N58" si="28">+(G410+G412+G414+G415)-(G197+G199+G201+G202)</f>
        <v>0</v>
      </c>
      <c r="H58" s="1863">
        <f t="shared" si="28"/>
        <v>0</v>
      </c>
      <c r="I58" s="1863">
        <f t="shared" si="28"/>
        <v>0</v>
      </c>
      <c r="J58" s="1863">
        <f>+(J410+J412+J414+J415)-(J197+J199+J201+J202)</f>
        <v>0</v>
      </c>
      <c r="K58" s="1863">
        <f>+(K410+K412+K414+K415)-(K197+K199+K201+K202)</f>
        <v>0</v>
      </c>
      <c r="L58" s="1863">
        <f t="shared" si="28"/>
        <v>0</v>
      </c>
      <c r="M58" s="1863">
        <f t="shared" si="28"/>
        <v>0</v>
      </c>
      <c r="N58" s="1864">
        <f t="shared" si="28"/>
        <v>0</v>
      </c>
      <c r="IA58" s="1713"/>
      <c r="IB58" s="1713"/>
      <c r="IC58" s="1713"/>
      <c r="ID58" s="1713"/>
      <c r="IE58" s="1713"/>
      <c r="IF58" s="1713"/>
      <c r="IG58" s="1713"/>
      <c r="IH58" s="1713"/>
      <c r="II58" s="1713"/>
      <c r="IJ58" s="1713"/>
      <c r="IK58" s="1713"/>
      <c r="IL58" s="1713"/>
      <c r="IM58" s="1713"/>
      <c r="IN58" s="1713"/>
      <c r="IO58" s="1713"/>
      <c r="IP58" s="1713"/>
      <c r="IQ58" s="1713"/>
      <c r="IR58" s="1713"/>
      <c r="IS58" s="1713"/>
      <c r="IT58" s="1713"/>
      <c r="IU58" s="1713"/>
      <c r="IV58" s="1713"/>
    </row>
    <row r="59" spans="1:256" s="1712" customFormat="1" ht="16">
      <c r="A59" s="2961"/>
      <c r="B59" s="1865" t="s">
        <v>2735</v>
      </c>
      <c r="C59" s="1866" t="s">
        <v>2833</v>
      </c>
      <c r="D59" s="1860"/>
      <c r="E59" s="1861"/>
      <c r="F59" s="1862">
        <f t="shared" si="27"/>
        <v>0</v>
      </c>
      <c r="G59" s="1863">
        <f t="shared" ref="G59:N59" si="29">SUM(G416:G423)-SUM(G203:G210)</f>
        <v>0</v>
      </c>
      <c r="H59" s="1863">
        <f t="shared" si="29"/>
        <v>0</v>
      </c>
      <c r="I59" s="1863">
        <f t="shared" si="29"/>
        <v>0</v>
      </c>
      <c r="J59" s="1863">
        <f>SUM(J416:J423)-SUM(J203:J210)</f>
        <v>0</v>
      </c>
      <c r="K59" s="1863">
        <f>SUM(K416:K423)-SUM(K203:K210)</f>
        <v>0</v>
      </c>
      <c r="L59" s="1863">
        <f t="shared" si="29"/>
        <v>0</v>
      </c>
      <c r="M59" s="1863">
        <f t="shared" si="29"/>
        <v>0</v>
      </c>
      <c r="N59" s="1864">
        <f t="shared" si="29"/>
        <v>0</v>
      </c>
      <c r="IA59" s="1713"/>
      <c r="IB59" s="1713"/>
      <c r="IC59" s="1713"/>
      <c r="ID59" s="1713"/>
      <c r="IE59" s="1713"/>
      <c r="IF59" s="1713"/>
      <c r="IG59" s="1713"/>
      <c r="IH59" s="1713"/>
      <c r="II59" s="1713"/>
      <c r="IJ59" s="1713"/>
      <c r="IK59" s="1713"/>
      <c r="IL59" s="1713"/>
      <c r="IM59" s="1713"/>
      <c r="IN59" s="1713"/>
      <c r="IO59" s="1713"/>
      <c r="IP59" s="1713"/>
      <c r="IQ59" s="1713"/>
      <c r="IR59" s="1713"/>
      <c r="IS59" s="1713"/>
      <c r="IT59" s="1713"/>
      <c r="IU59" s="1713"/>
      <c r="IV59" s="1713"/>
    </row>
    <row r="60" spans="1:256" s="1712" customFormat="1" ht="16">
      <c r="A60" s="2961"/>
      <c r="B60" s="1867" t="s">
        <v>477</v>
      </c>
      <c r="C60" s="1866" t="s">
        <v>2737</v>
      </c>
      <c r="D60" s="1860">
        <f>IF(OR($AA$2="下請け",$AA$2="下請"),0.6,1)</f>
        <v>1</v>
      </c>
      <c r="E60" s="1861">
        <v>0.02</v>
      </c>
      <c r="F60" s="1862">
        <f t="shared" si="27"/>
        <v>0</v>
      </c>
      <c r="G60" s="1863">
        <f t="shared" ref="G60:N60" si="30">SUM(G424:G426)-SUM(G211:G213)</f>
        <v>0</v>
      </c>
      <c r="H60" s="1863">
        <f t="shared" si="30"/>
        <v>0</v>
      </c>
      <c r="I60" s="1863">
        <f t="shared" si="30"/>
        <v>0</v>
      </c>
      <c r="J60" s="1863">
        <f>SUM(J424:J426)-SUM(J211:J213)</f>
        <v>0</v>
      </c>
      <c r="K60" s="1863">
        <f>SUM(K424:K426)-SUM(K211:K213)</f>
        <v>0</v>
      </c>
      <c r="L60" s="1863">
        <f t="shared" si="30"/>
        <v>0</v>
      </c>
      <c r="M60" s="1863">
        <f t="shared" si="30"/>
        <v>0</v>
      </c>
      <c r="N60" s="1864">
        <f t="shared" si="30"/>
        <v>0</v>
      </c>
      <c r="IA60" s="1713"/>
      <c r="IB60" s="1713"/>
      <c r="IC60" s="1713"/>
      <c r="ID60" s="1713"/>
      <c r="IE60" s="1713"/>
      <c r="IF60" s="1713"/>
      <c r="IG60" s="1713"/>
      <c r="IH60" s="1713"/>
      <c r="II60" s="1713"/>
      <c r="IJ60" s="1713"/>
      <c r="IK60" s="1713"/>
      <c r="IL60" s="1713"/>
      <c r="IM60" s="1713"/>
      <c r="IN60" s="1713"/>
      <c r="IO60" s="1713"/>
      <c r="IP60" s="1713"/>
      <c r="IQ60" s="1713"/>
      <c r="IR60" s="1713"/>
      <c r="IS60" s="1713"/>
      <c r="IT60" s="1713"/>
      <c r="IU60" s="1713"/>
      <c r="IV60" s="1713"/>
    </row>
    <row r="61" spans="1:256" s="1712" customFormat="1" ht="16">
      <c r="A61" s="2961"/>
      <c r="B61" s="2962" t="s">
        <v>2835</v>
      </c>
      <c r="C61" s="1869" t="s">
        <v>2739</v>
      </c>
      <c r="D61" s="1870">
        <f>IF(OR($AA$2="下請け",$AA$2="下請"),0.6,1)</f>
        <v>1</v>
      </c>
      <c r="E61" s="1871">
        <v>0</v>
      </c>
      <c r="F61" s="1872">
        <f t="shared" si="27"/>
        <v>0</v>
      </c>
      <c r="G61" s="1905">
        <v>0</v>
      </c>
      <c r="H61" s="1905">
        <v>0</v>
      </c>
      <c r="I61" s="1905">
        <v>0</v>
      </c>
      <c r="J61" s="1905">
        <v>0</v>
      </c>
      <c r="K61" s="1905">
        <v>0</v>
      </c>
      <c r="L61" s="1905">
        <v>0</v>
      </c>
      <c r="M61" s="1905">
        <v>0</v>
      </c>
      <c r="N61" s="1906">
        <v>0</v>
      </c>
      <c r="IA61" s="1713"/>
      <c r="IB61" s="1713"/>
      <c r="IC61" s="1713"/>
      <c r="ID61" s="1713"/>
      <c r="IE61" s="1713"/>
      <c r="IF61" s="1713"/>
      <c r="IG61" s="1713"/>
      <c r="IH61" s="1713"/>
      <c r="II61" s="1713"/>
      <c r="IJ61" s="1713"/>
      <c r="IK61" s="1713"/>
      <c r="IL61" s="1713"/>
      <c r="IM61" s="1713"/>
      <c r="IN61" s="1713"/>
      <c r="IO61" s="1713"/>
      <c r="IP61" s="1713"/>
      <c r="IQ61" s="1713"/>
      <c r="IR61" s="1713"/>
      <c r="IS61" s="1713"/>
      <c r="IT61" s="1713"/>
      <c r="IU61" s="1713"/>
      <c r="IV61" s="1713"/>
    </row>
    <row r="62" spans="1:256" s="1712" customFormat="1" ht="16">
      <c r="A62" s="2961"/>
      <c r="B62" s="2963"/>
      <c r="C62" s="1869" t="s">
        <v>2740</v>
      </c>
      <c r="D62" s="1870">
        <f>IF(OR($AA$2="下請け",$AA$2="下請"),0.6,1)</f>
        <v>1</v>
      </c>
      <c r="E62" s="1871">
        <v>0</v>
      </c>
      <c r="F62" s="1872">
        <f t="shared" si="27"/>
        <v>0</v>
      </c>
      <c r="G62" s="1850"/>
      <c r="H62" s="1850"/>
      <c r="I62" s="1850"/>
      <c r="J62" s="1850"/>
      <c r="K62" s="1850"/>
      <c r="L62" s="1850"/>
      <c r="M62" s="1850"/>
      <c r="N62" s="1851"/>
      <c r="IA62" s="1713"/>
      <c r="IB62" s="1713"/>
      <c r="IC62" s="1713"/>
      <c r="ID62" s="1713"/>
      <c r="IE62" s="1713"/>
      <c r="IF62" s="1713"/>
      <c r="IG62" s="1713"/>
      <c r="IH62" s="1713"/>
      <c r="II62" s="1713"/>
      <c r="IJ62" s="1713"/>
      <c r="IK62" s="1713"/>
      <c r="IL62" s="1713"/>
      <c r="IM62" s="1713"/>
      <c r="IN62" s="1713"/>
      <c r="IO62" s="1713"/>
      <c r="IP62" s="1713"/>
      <c r="IQ62" s="1713"/>
      <c r="IR62" s="1713"/>
      <c r="IS62" s="1713"/>
      <c r="IT62" s="1713"/>
      <c r="IU62" s="1713"/>
      <c r="IV62" s="1713"/>
    </row>
    <row r="63" spans="1:256" s="1712" customFormat="1" ht="16">
      <c r="A63" s="1875"/>
      <c r="B63" s="2964" t="s">
        <v>2741</v>
      </c>
      <c r="C63" s="2965"/>
      <c r="D63" s="1876"/>
      <c r="E63" s="1877"/>
      <c r="F63" s="1878">
        <f t="shared" si="27"/>
        <v>0</v>
      </c>
      <c r="G63" s="1863">
        <f t="shared" ref="G63:N63" si="31">G431-G218</f>
        <v>0</v>
      </c>
      <c r="H63" s="1863">
        <f t="shared" si="31"/>
        <v>0</v>
      </c>
      <c r="I63" s="1863">
        <f t="shared" si="31"/>
        <v>0</v>
      </c>
      <c r="J63" s="1863">
        <f>J431-J218</f>
        <v>0</v>
      </c>
      <c r="K63" s="1863">
        <f>K431-K218</f>
        <v>0</v>
      </c>
      <c r="L63" s="1863">
        <f t="shared" si="31"/>
        <v>0</v>
      </c>
      <c r="M63" s="1863">
        <f t="shared" si="31"/>
        <v>0</v>
      </c>
      <c r="N63" s="1864">
        <f t="shared" si="31"/>
        <v>0</v>
      </c>
      <c r="IA63" s="1713"/>
      <c r="IB63" s="1713"/>
      <c r="IC63" s="1713"/>
      <c r="ID63" s="1713"/>
      <c r="IE63" s="1713"/>
      <c r="IF63" s="1713"/>
      <c r="IG63" s="1713"/>
      <c r="IH63" s="1713"/>
      <c r="II63" s="1713"/>
      <c r="IJ63" s="1713"/>
      <c r="IK63" s="1713"/>
      <c r="IL63" s="1713"/>
      <c r="IM63" s="1713"/>
      <c r="IN63" s="1713"/>
      <c r="IO63" s="1713"/>
      <c r="IP63" s="1713"/>
      <c r="IQ63" s="1713"/>
      <c r="IR63" s="1713"/>
      <c r="IS63" s="1713"/>
      <c r="IT63" s="1713"/>
      <c r="IU63" s="1713"/>
      <c r="IV63" s="1713"/>
    </row>
    <row r="64" spans="1:256" s="1712" customFormat="1" ht="16">
      <c r="A64" s="1875"/>
      <c r="B64" s="1879"/>
      <c r="C64" s="1880" t="s">
        <v>2566</v>
      </c>
      <c r="D64" s="1876"/>
      <c r="E64" s="1877"/>
      <c r="F64" s="1878">
        <f t="shared" si="27"/>
        <v>0</v>
      </c>
      <c r="G64" s="1863">
        <f t="shared" ref="G64:N64" si="32">IF(G13=0,IF(G8=G87,G63,0),0)</f>
        <v>0</v>
      </c>
      <c r="H64" s="1863">
        <f t="shared" si="32"/>
        <v>0</v>
      </c>
      <c r="I64" s="1863">
        <f t="shared" si="32"/>
        <v>0</v>
      </c>
      <c r="J64" s="1863">
        <f t="shared" si="32"/>
        <v>0</v>
      </c>
      <c r="K64" s="1863">
        <f t="shared" si="32"/>
        <v>0</v>
      </c>
      <c r="L64" s="1863">
        <f t="shared" si="32"/>
        <v>0</v>
      </c>
      <c r="M64" s="1863">
        <f t="shared" si="32"/>
        <v>0</v>
      </c>
      <c r="N64" s="1864">
        <f t="shared" si="32"/>
        <v>0</v>
      </c>
      <c r="IA64" s="1713"/>
      <c r="IB64" s="1713"/>
      <c r="IC64" s="1713"/>
      <c r="ID64" s="1713"/>
      <c r="IE64" s="1713"/>
      <c r="IF64" s="1713"/>
      <c r="IG64" s="1713"/>
      <c r="IH64" s="1713"/>
      <c r="II64" s="1713"/>
      <c r="IJ64" s="1713"/>
      <c r="IK64" s="1713"/>
      <c r="IL64" s="1713"/>
      <c r="IM64" s="1713"/>
      <c r="IN64" s="1713"/>
      <c r="IO64" s="1713"/>
      <c r="IP64" s="1713"/>
      <c r="IQ64" s="1713"/>
      <c r="IR64" s="1713"/>
      <c r="IS64" s="1713"/>
      <c r="IT64" s="1713"/>
      <c r="IU64" s="1713"/>
      <c r="IV64" s="1713"/>
    </row>
    <row r="65" spans="1:256" s="1712" customFormat="1" ht="16">
      <c r="A65" s="1875"/>
      <c r="B65" s="1879"/>
      <c r="C65" s="1880" t="s">
        <v>2567</v>
      </c>
      <c r="D65" s="1876"/>
      <c r="E65" s="1877"/>
      <c r="F65" s="1878">
        <f t="shared" si="27"/>
        <v>0</v>
      </c>
      <c r="G65" s="1863">
        <f t="shared" ref="G65:N65" si="33">G55-(G41+G42)</f>
        <v>0</v>
      </c>
      <c r="H65" s="1863">
        <f t="shared" si="33"/>
        <v>0</v>
      </c>
      <c r="I65" s="1863">
        <f t="shared" si="33"/>
        <v>0</v>
      </c>
      <c r="J65" s="1863">
        <f>J55-(J41+J42)</f>
        <v>0</v>
      </c>
      <c r="K65" s="1863">
        <f>K55-(K41+K42)</f>
        <v>0</v>
      </c>
      <c r="L65" s="1863">
        <f t="shared" si="33"/>
        <v>0</v>
      </c>
      <c r="M65" s="1863">
        <f t="shared" si="33"/>
        <v>0</v>
      </c>
      <c r="N65" s="1864">
        <f t="shared" si="33"/>
        <v>0</v>
      </c>
      <c r="IA65" s="1713"/>
      <c r="IB65" s="1713"/>
      <c r="IC65" s="1713"/>
      <c r="ID65" s="1713"/>
      <c r="IE65" s="1713"/>
      <c r="IF65" s="1713"/>
      <c r="IG65" s="1713"/>
      <c r="IH65" s="1713"/>
      <c r="II65" s="1713"/>
      <c r="IJ65" s="1713"/>
      <c r="IK65" s="1713"/>
      <c r="IL65" s="1713"/>
      <c r="IM65" s="1713"/>
      <c r="IN65" s="1713"/>
      <c r="IO65" s="1713"/>
      <c r="IP65" s="1713"/>
      <c r="IQ65" s="1713"/>
      <c r="IR65" s="1713"/>
      <c r="IS65" s="1713"/>
      <c r="IT65" s="1713"/>
      <c r="IU65" s="1713"/>
      <c r="IV65" s="1713"/>
    </row>
    <row r="66" spans="1:256" s="1712" customFormat="1" ht="16">
      <c r="A66" s="1875"/>
      <c r="B66" s="1879"/>
      <c r="C66" s="1880" t="s">
        <v>2568</v>
      </c>
      <c r="D66" s="1876"/>
      <c r="E66" s="1877"/>
      <c r="F66" s="1878">
        <f>SUM(G66:P66)</f>
        <v>0</v>
      </c>
      <c r="G66" s="1836">
        <f t="shared" ref="G66:N66" si="34">IF($F$64=0,0,IF(G64=0,INT(G65/$F65*$F64),0))</f>
        <v>0</v>
      </c>
      <c r="H66" s="1836">
        <f t="shared" si="34"/>
        <v>0</v>
      </c>
      <c r="I66" s="1836">
        <f t="shared" si="34"/>
        <v>0</v>
      </c>
      <c r="J66" s="1836">
        <f>IF($F$64=0,0,IF(J64=0,INT(J65/$F65*$F64),0))</f>
        <v>0</v>
      </c>
      <c r="K66" s="1836">
        <f>IF($F$64=0,0,IF(K64=0,INT(K65/$F65*$F64),0))</f>
        <v>0</v>
      </c>
      <c r="L66" s="1836">
        <f t="shared" si="34"/>
        <v>0</v>
      </c>
      <c r="M66" s="1836">
        <f t="shared" si="34"/>
        <v>0</v>
      </c>
      <c r="N66" s="1837">
        <f t="shared" si="34"/>
        <v>0</v>
      </c>
      <c r="IA66" s="1713"/>
      <c r="IB66" s="1713"/>
      <c r="IC66" s="1713"/>
      <c r="ID66" s="1713"/>
      <c r="IE66" s="1713"/>
      <c r="IF66" s="1713"/>
      <c r="IG66" s="1713"/>
      <c r="IH66" s="1713"/>
      <c r="II66" s="1713"/>
      <c r="IJ66" s="1713"/>
      <c r="IK66" s="1713"/>
      <c r="IL66" s="1713"/>
      <c r="IM66" s="1713"/>
      <c r="IN66" s="1713"/>
      <c r="IO66" s="1713"/>
      <c r="IP66" s="1713"/>
      <c r="IQ66" s="1713"/>
      <c r="IR66" s="1713"/>
      <c r="IS66" s="1713"/>
      <c r="IT66" s="1713"/>
      <c r="IU66" s="1713"/>
      <c r="IV66" s="1713"/>
    </row>
    <row r="67" spans="1:256" s="1712" customFormat="1" ht="16">
      <c r="A67" s="1875"/>
      <c r="B67" s="1879"/>
      <c r="C67" s="1880" t="s">
        <v>2569</v>
      </c>
      <c r="D67" s="1876"/>
      <c r="E67" s="1877"/>
      <c r="F67" s="1878">
        <f>F64-F66</f>
        <v>0</v>
      </c>
      <c r="G67" s="1836">
        <f>IF($F67=0,0,IF(G66=0,0,$F67))</f>
        <v>0</v>
      </c>
      <c r="H67" s="1836">
        <f>IF($F67=0,0,IF(H66=0,0,IF(SUM($G67:G67)=0,$F67,0)))</f>
        <v>0</v>
      </c>
      <c r="I67" s="1836">
        <f>IF($F67=0,0,IF(I66=0,0,IF(SUM($G67:H67)=0,$F67,0)))</f>
        <v>0</v>
      </c>
      <c r="J67" s="1836">
        <f>IF($F67=0,0,IF(J66=0,0,IF(SUM($G67:I67)=0,$F67,0)))</f>
        <v>0</v>
      </c>
      <c r="K67" s="1836">
        <f>IF($F67=0,0,IF(K66=0,0,IF(SUM($G67:J67)=0,$F67,0)))</f>
        <v>0</v>
      </c>
      <c r="L67" s="1836">
        <f>IF($F67=0,0,IF(L66=0,0,IF(SUM($G67:I67)=0,$F67,0)))</f>
        <v>0</v>
      </c>
      <c r="M67" s="1836">
        <f>IF($F67=0,0,IF(M66=0,0,IF(SUM($G67:L67)=0,$F67,0)))</f>
        <v>0</v>
      </c>
      <c r="N67" s="1837">
        <f>IF($F67=0,0,IF(N66=0,0,IF(SUM($G67:M67)=0,$F67,0)))</f>
        <v>0</v>
      </c>
      <c r="IA67" s="1713"/>
      <c r="IB67" s="1713"/>
      <c r="IC67" s="1713"/>
      <c r="ID67" s="1713"/>
      <c r="IE67" s="1713"/>
      <c r="IF67" s="1713"/>
      <c r="IG67" s="1713"/>
      <c r="IH67" s="1713"/>
      <c r="II67" s="1713"/>
      <c r="IJ67" s="1713"/>
      <c r="IK67" s="1713"/>
      <c r="IL67" s="1713"/>
      <c r="IM67" s="1713"/>
      <c r="IN67" s="1713"/>
      <c r="IO67" s="1713"/>
      <c r="IP67" s="1713"/>
      <c r="IQ67" s="1713"/>
      <c r="IR67" s="1713"/>
      <c r="IS67" s="1713"/>
      <c r="IT67" s="1713"/>
      <c r="IU67" s="1713"/>
      <c r="IV67" s="1713"/>
    </row>
    <row r="68" spans="1:256" s="1712" customFormat="1" ht="16">
      <c r="A68" s="1875"/>
      <c r="B68" s="2966" t="s">
        <v>2742</v>
      </c>
      <c r="C68" s="2967"/>
      <c r="D68" s="1881"/>
      <c r="E68" s="1882"/>
      <c r="F68" s="1883">
        <f>SUM(G68:P68)</f>
        <v>0</v>
      </c>
      <c r="G68" s="1838">
        <f t="shared" ref="G68:N68" si="35">IF(G62=0,IF(G55=0,IF(G8=G87,0,G63+G66+G67),G63+G66+G67),G62)</f>
        <v>0</v>
      </c>
      <c r="H68" s="1838">
        <f t="shared" si="35"/>
        <v>0</v>
      </c>
      <c r="I68" s="1838">
        <f t="shared" si="35"/>
        <v>0</v>
      </c>
      <c r="J68" s="1838">
        <f t="shared" si="35"/>
        <v>0</v>
      </c>
      <c r="K68" s="1838">
        <f t="shared" si="35"/>
        <v>0</v>
      </c>
      <c r="L68" s="1838">
        <f t="shared" si="35"/>
        <v>0</v>
      </c>
      <c r="M68" s="1838">
        <f t="shared" si="35"/>
        <v>0</v>
      </c>
      <c r="N68" s="1839">
        <f t="shared" si="35"/>
        <v>0</v>
      </c>
      <c r="IA68" s="1713"/>
      <c r="IB68" s="1713"/>
      <c r="IC68" s="1713"/>
      <c r="ID68" s="1713"/>
      <c r="IE68" s="1713"/>
      <c r="IF68" s="1713"/>
      <c r="IG68" s="1713"/>
      <c r="IH68" s="1713"/>
      <c r="II68" s="1713"/>
      <c r="IJ68" s="1713"/>
      <c r="IK68" s="1713"/>
      <c r="IL68" s="1713"/>
      <c r="IM68" s="1713"/>
      <c r="IN68" s="1713"/>
      <c r="IO68" s="1713"/>
      <c r="IP68" s="1713"/>
      <c r="IQ68" s="1713"/>
      <c r="IR68" s="1713"/>
      <c r="IS68" s="1713"/>
      <c r="IT68" s="1713"/>
      <c r="IU68" s="1713"/>
      <c r="IV68" s="1713"/>
    </row>
    <row r="69" spans="1:256" s="1712" customFormat="1" ht="16">
      <c r="A69" s="1907" t="s">
        <v>2571</v>
      </c>
      <c r="B69" s="1908"/>
      <c r="C69" s="1909"/>
      <c r="D69" s="1910"/>
      <c r="E69" s="1911" t="s">
        <v>2743</v>
      </c>
      <c r="F69" s="1912">
        <f>SUM(G69:N69)</f>
        <v>0</v>
      </c>
      <c r="G69" s="1913">
        <f>G437-G224</f>
        <v>0</v>
      </c>
      <c r="H69" s="1913">
        <f t="shared" ref="H69:N69" si="36">H437-H224</f>
        <v>0</v>
      </c>
      <c r="I69" s="1913">
        <f t="shared" si="36"/>
        <v>0</v>
      </c>
      <c r="J69" s="1913">
        <f>J437-J224</f>
        <v>0</v>
      </c>
      <c r="K69" s="1913">
        <f>K437-K224</f>
        <v>0</v>
      </c>
      <c r="L69" s="1913">
        <f t="shared" si="36"/>
        <v>0</v>
      </c>
      <c r="M69" s="1913">
        <f t="shared" si="36"/>
        <v>0</v>
      </c>
      <c r="N69" s="1914">
        <f t="shared" si="36"/>
        <v>0</v>
      </c>
      <c r="IA69" s="1713"/>
      <c r="IB69" s="1713"/>
      <c r="IC69" s="1713"/>
      <c r="ID69" s="1713"/>
      <c r="IE69" s="1713"/>
      <c r="IF69" s="1713"/>
      <c r="IG69" s="1713"/>
      <c r="IH69" s="1713"/>
      <c r="II69" s="1713"/>
      <c r="IJ69" s="1713"/>
      <c r="IK69" s="1713"/>
      <c r="IL69" s="1713"/>
      <c r="IM69" s="1713"/>
      <c r="IN69" s="1713"/>
      <c r="IO69" s="1713"/>
      <c r="IP69" s="1713"/>
      <c r="IQ69" s="1713"/>
      <c r="IR69" s="1713"/>
      <c r="IS69" s="1713"/>
      <c r="IT69" s="1713"/>
      <c r="IU69" s="1713"/>
      <c r="IV69" s="1713"/>
    </row>
    <row r="70" spans="1:256" s="1712" customFormat="1" ht="16">
      <c r="A70" s="1915"/>
      <c r="B70" s="2968" t="s">
        <v>2571</v>
      </c>
      <c r="C70" s="2969"/>
      <c r="D70" s="1916"/>
      <c r="E70" s="1917"/>
      <c r="F70" s="1912">
        <f>SUM(G70:N70)</f>
        <v>0</v>
      </c>
      <c r="G70" s="1918">
        <f t="shared" ref="G70:N70" si="37">G461-G248</f>
        <v>0</v>
      </c>
      <c r="H70" s="1918">
        <f t="shared" si="37"/>
        <v>0</v>
      </c>
      <c r="I70" s="1918">
        <f t="shared" si="37"/>
        <v>0</v>
      </c>
      <c r="J70" s="1918">
        <f>J461-J248</f>
        <v>0</v>
      </c>
      <c r="K70" s="1918">
        <f>K461-K248</f>
        <v>0</v>
      </c>
      <c r="L70" s="1918">
        <f t="shared" si="37"/>
        <v>0</v>
      </c>
      <c r="M70" s="1918">
        <f t="shared" si="37"/>
        <v>0</v>
      </c>
      <c r="N70" s="1919">
        <f t="shared" si="37"/>
        <v>0</v>
      </c>
      <c r="IA70" s="1713"/>
      <c r="IB70" s="1713"/>
      <c r="IC70" s="1713"/>
      <c r="ID70" s="1713"/>
      <c r="IE70" s="1713"/>
      <c r="IF70" s="1713"/>
      <c r="IG70" s="1713"/>
      <c r="IH70" s="1713"/>
      <c r="II70" s="1713"/>
      <c r="IJ70" s="1713"/>
      <c r="IK70" s="1713"/>
      <c r="IL70" s="1713"/>
      <c r="IM70" s="1713"/>
      <c r="IN70" s="1713"/>
      <c r="IO70" s="1713"/>
      <c r="IP70" s="1713"/>
      <c r="IQ70" s="1713"/>
      <c r="IR70" s="1713"/>
      <c r="IS70" s="1713"/>
      <c r="IT70" s="1713"/>
      <c r="IU70" s="1713"/>
      <c r="IV70" s="1713"/>
    </row>
    <row r="71" spans="1:256" s="1712" customFormat="1" ht="16">
      <c r="A71" s="1915"/>
      <c r="B71" s="1920"/>
      <c r="C71" s="1921" t="s">
        <v>2566</v>
      </c>
      <c r="D71" s="1922"/>
      <c r="E71" s="1923"/>
      <c r="F71" s="1924">
        <f>SUM(G71:N71)</f>
        <v>0</v>
      </c>
      <c r="G71" s="1925">
        <f t="shared" ref="G71:N71" si="38">IF(G55=0,IF(G8=G87,G70,0),0)</f>
        <v>0</v>
      </c>
      <c r="H71" s="1925">
        <f t="shared" si="38"/>
        <v>0</v>
      </c>
      <c r="I71" s="1925">
        <f t="shared" si="38"/>
        <v>0</v>
      </c>
      <c r="J71" s="1925">
        <f t="shared" si="38"/>
        <v>0</v>
      </c>
      <c r="K71" s="1925">
        <f t="shared" si="38"/>
        <v>0</v>
      </c>
      <c r="L71" s="1925">
        <f t="shared" si="38"/>
        <v>0</v>
      </c>
      <c r="M71" s="1925">
        <f t="shared" si="38"/>
        <v>0</v>
      </c>
      <c r="N71" s="1926">
        <f t="shared" si="38"/>
        <v>0</v>
      </c>
      <c r="IA71" s="1713"/>
      <c r="IB71" s="1713"/>
      <c r="IC71" s="1713"/>
      <c r="ID71" s="1713"/>
      <c r="IE71" s="1713"/>
      <c r="IF71" s="1713"/>
      <c r="IG71" s="1713"/>
      <c r="IH71" s="1713"/>
      <c r="II71" s="1713"/>
      <c r="IJ71" s="1713"/>
      <c r="IK71" s="1713"/>
      <c r="IL71" s="1713"/>
      <c r="IM71" s="1713"/>
      <c r="IN71" s="1713"/>
      <c r="IO71" s="1713"/>
      <c r="IP71" s="1713"/>
      <c r="IQ71" s="1713"/>
      <c r="IR71" s="1713"/>
      <c r="IS71" s="1713"/>
      <c r="IT71" s="1713"/>
      <c r="IU71" s="1713"/>
      <c r="IV71" s="1713"/>
    </row>
    <row r="72" spans="1:256" s="1712" customFormat="1" ht="16">
      <c r="A72" s="1915"/>
      <c r="B72" s="1927"/>
      <c r="C72" s="1928" t="s">
        <v>2575</v>
      </c>
      <c r="D72" s="1860"/>
      <c r="E72" s="1929"/>
      <c r="F72" s="1930">
        <f>SUM(G72:N72)</f>
        <v>0</v>
      </c>
      <c r="G72" s="1931">
        <f t="shared" ref="G72:N72" si="39">+G69</f>
        <v>0</v>
      </c>
      <c r="H72" s="1931">
        <f t="shared" si="39"/>
        <v>0</v>
      </c>
      <c r="I72" s="1931">
        <f t="shared" si="39"/>
        <v>0</v>
      </c>
      <c r="J72" s="1931">
        <f>+J69</f>
        <v>0</v>
      </c>
      <c r="K72" s="1931">
        <f>+K69</f>
        <v>0</v>
      </c>
      <c r="L72" s="1931">
        <f t="shared" si="39"/>
        <v>0</v>
      </c>
      <c r="M72" s="1931">
        <f t="shared" si="39"/>
        <v>0</v>
      </c>
      <c r="N72" s="1932">
        <f t="shared" si="39"/>
        <v>0</v>
      </c>
      <c r="IA72" s="1713"/>
      <c r="IB72" s="1713"/>
      <c r="IC72" s="1713"/>
      <c r="ID72" s="1713"/>
      <c r="IE72" s="1713"/>
      <c r="IF72" s="1713"/>
      <c r="IG72" s="1713"/>
      <c r="IH72" s="1713"/>
      <c r="II72" s="1713"/>
      <c r="IJ72" s="1713"/>
      <c r="IK72" s="1713"/>
      <c r="IL72" s="1713"/>
      <c r="IM72" s="1713"/>
      <c r="IN72" s="1713"/>
      <c r="IO72" s="1713"/>
      <c r="IP72" s="1713"/>
      <c r="IQ72" s="1713"/>
      <c r="IR72" s="1713"/>
      <c r="IS72" s="1713"/>
      <c r="IT72" s="1713"/>
      <c r="IU72" s="1713"/>
      <c r="IV72" s="1713"/>
    </row>
    <row r="73" spans="1:256" s="1712" customFormat="1" ht="16">
      <c r="A73" s="1915"/>
      <c r="B73" s="1927"/>
      <c r="C73" s="1928" t="s">
        <v>2576</v>
      </c>
      <c r="D73" s="1860"/>
      <c r="E73" s="1929"/>
      <c r="F73" s="1930">
        <f>SUM(G73:N73)</f>
        <v>0</v>
      </c>
      <c r="G73" s="1931">
        <f t="shared" ref="G73:N73" si="40">IF($F$71=0,0,INT(G72/$F72*$F71))</f>
        <v>0</v>
      </c>
      <c r="H73" s="1931">
        <f t="shared" si="40"/>
        <v>0</v>
      </c>
      <c r="I73" s="1931">
        <f t="shared" si="40"/>
        <v>0</v>
      </c>
      <c r="J73" s="1931">
        <f>IF($F$71=0,0,INT(J72/$F72*$F71))</f>
        <v>0</v>
      </c>
      <c r="K73" s="1931">
        <f>IF($F$71=0,0,INT(K72/$F72*$F71))</f>
        <v>0</v>
      </c>
      <c r="L73" s="1931">
        <f t="shared" si="40"/>
        <v>0</v>
      </c>
      <c r="M73" s="1931">
        <f t="shared" si="40"/>
        <v>0</v>
      </c>
      <c r="N73" s="1932">
        <f t="shared" si="40"/>
        <v>0</v>
      </c>
      <c r="IA73" s="1713"/>
      <c r="IB73" s="1713"/>
      <c r="IC73" s="1713"/>
      <c r="ID73" s="1713"/>
      <c r="IE73" s="1713"/>
      <c r="IF73" s="1713"/>
      <c r="IG73" s="1713"/>
      <c r="IH73" s="1713"/>
      <c r="II73" s="1713"/>
      <c r="IJ73" s="1713"/>
      <c r="IK73" s="1713"/>
      <c r="IL73" s="1713"/>
      <c r="IM73" s="1713"/>
      <c r="IN73" s="1713"/>
      <c r="IO73" s="1713"/>
      <c r="IP73" s="1713"/>
      <c r="IQ73" s="1713"/>
      <c r="IR73" s="1713"/>
      <c r="IS73" s="1713"/>
      <c r="IT73" s="1713"/>
      <c r="IU73" s="1713"/>
      <c r="IV73" s="1713"/>
    </row>
    <row r="74" spans="1:256" s="1712" customFormat="1" ht="16">
      <c r="A74" s="1915"/>
      <c r="B74" s="1927"/>
      <c r="C74" s="1928" t="s">
        <v>2577</v>
      </c>
      <c r="D74" s="1860"/>
      <c r="E74" s="1929"/>
      <c r="F74" s="1930">
        <f>F71-F73</f>
        <v>0</v>
      </c>
      <c r="G74" s="1931">
        <f>IF($F74=0,0,IF(G73=0,0,$F74))</f>
        <v>0</v>
      </c>
      <c r="H74" s="1931">
        <f>IF($F74=0,0,IF(H73=0,0,IF(SUM($G74:G74)=0,$F74,0)))</f>
        <v>0</v>
      </c>
      <c r="I74" s="1931">
        <f>IF($F74=0,0,IF(I73=0,0,IF(SUM($G74:H74)=0,$F74,0)))</f>
        <v>0</v>
      </c>
      <c r="J74" s="1931">
        <f>IF($F74=0,0,IF(J73=0,0,IF(SUM($G74:I74)=0,$F74,0)))</f>
        <v>0</v>
      </c>
      <c r="K74" s="1931">
        <f>IF($F74=0,0,IF(K73=0,0,IF(SUM($G74:J74)=0,$F74,0)))</f>
        <v>0</v>
      </c>
      <c r="L74" s="1931">
        <f>IF($F74=0,0,IF(L73=0,0,IF(SUM($G74:I74)=0,$F74,0)))</f>
        <v>0</v>
      </c>
      <c r="M74" s="1931">
        <f>IF($F74=0,0,IF(M73=0,0,IF(SUM($G74:L74)=0,$F74,0)))</f>
        <v>0</v>
      </c>
      <c r="N74" s="1932">
        <f>IF($F74=0,0,IF(N73=0,0,IF(SUM($G74:M74)=0,$F74,0)))</f>
        <v>0</v>
      </c>
      <c r="IA74" s="1713"/>
      <c r="IB74" s="1713"/>
      <c r="IC74" s="1713"/>
      <c r="ID74" s="1713"/>
      <c r="IE74" s="1713"/>
      <c r="IF74" s="1713"/>
      <c r="IG74" s="1713"/>
      <c r="IH74" s="1713"/>
      <c r="II74" s="1713"/>
      <c r="IJ74" s="1713"/>
      <c r="IK74" s="1713"/>
      <c r="IL74" s="1713"/>
      <c r="IM74" s="1713"/>
      <c r="IN74" s="1713"/>
      <c r="IO74" s="1713"/>
      <c r="IP74" s="1713"/>
      <c r="IQ74" s="1713"/>
      <c r="IR74" s="1713"/>
      <c r="IS74" s="1713"/>
      <c r="IT74" s="1713"/>
      <c r="IU74" s="1713"/>
      <c r="IV74" s="1713"/>
    </row>
    <row r="75" spans="1:256" s="1712" customFormat="1" ht="16">
      <c r="A75" s="1915"/>
      <c r="B75" s="2970" t="s">
        <v>2578</v>
      </c>
      <c r="C75" s="2971"/>
      <c r="D75" s="1933"/>
      <c r="E75" s="1934"/>
      <c r="F75" s="1935">
        <f t="shared" ref="F75:F82" si="41">SUM(G75:N75)</f>
        <v>0</v>
      </c>
      <c r="G75" s="1936">
        <f t="shared" ref="G75:N75" si="42">IF(G55=0,IF(G8=G87,0,G70+G73+G74),G70+G73+G74)</f>
        <v>0</v>
      </c>
      <c r="H75" s="1936">
        <f t="shared" si="42"/>
        <v>0</v>
      </c>
      <c r="I75" s="1936">
        <f t="shared" si="42"/>
        <v>0</v>
      </c>
      <c r="J75" s="1936">
        <f t="shared" si="42"/>
        <v>0</v>
      </c>
      <c r="K75" s="1936">
        <f t="shared" si="42"/>
        <v>0</v>
      </c>
      <c r="L75" s="1936">
        <f t="shared" si="42"/>
        <v>0</v>
      </c>
      <c r="M75" s="1936">
        <f t="shared" si="42"/>
        <v>0</v>
      </c>
      <c r="N75" s="1937">
        <f t="shared" si="42"/>
        <v>0</v>
      </c>
      <c r="IA75" s="1713"/>
      <c r="IB75" s="1713"/>
      <c r="IC75" s="1713"/>
      <c r="ID75" s="1713"/>
      <c r="IE75" s="1713"/>
      <c r="IF75" s="1713"/>
      <c r="IG75" s="1713"/>
      <c r="IH75" s="1713"/>
      <c r="II75" s="1713"/>
      <c r="IJ75" s="1713"/>
      <c r="IK75" s="1713"/>
      <c r="IL75" s="1713"/>
      <c r="IM75" s="1713"/>
      <c r="IN75" s="1713"/>
      <c r="IO75" s="1713"/>
      <c r="IP75" s="1713"/>
      <c r="IQ75" s="1713"/>
      <c r="IR75" s="1713"/>
      <c r="IS75" s="1713"/>
      <c r="IT75" s="1713"/>
      <c r="IU75" s="1713"/>
      <c r="IV75" s="1713"/>
    </row>
    <row r="76" spans="1:256" s="1712" customFormat="1" ht="17" thickBot="1">
      <c r="A76" s="1938" t="s">
        <v>394</v>
      </c>
      <c r="B76" s="1939"/>
      <c r="C76" s="1940"/>
      <c r="D76" s="1941"/>
      <c r="E76" s="1942"/>
      <c r="F76" s="1943">
        <f t="shared" si="41"/>
        <v>0</v>
      </c>
      <c r="G76" s="1944">
        <f t="shared" ref="G76:N76" si="43">G68+G75+G56</f>
        <v>0</v>
      </c>
      <c r="H76" s="1944">
        <f t="shared" si="43"/>
        <v>0</v>
      </c>
      <c r="I76" s="1944">
        <f t="shared" si="43"/>
        <v>0</v>
      </c>
      <c r="J76" s="1944">
        <f>J68+J75+J56</f>
        <v>0</v>
      </c>
      <c r="K76" s="1944">
        <f>K68+K75+K56</f>
        <v>0</v>
      </c>
      <c r="L76" s="1944">
        <f t="shared" si="43"/>
        <v>0</v>
      </c>
      <c r="M76" s="1944">
        <f t="shared" si="43"/>
        <v>0</v>
      </c>
      <c r="N76" s="1945">
        <f t="shared" si="43"/>
        <v>0</v>
      </c>
      <c r="IA76" s="1713"/>
      <c r="IB76" s="1713"/>
      <c r="IC76" s="1713"/>
      <c r="ID76" s="1713"/>
      <c r="IE76" s="1713"/>
      <c r="IF76" s="1713"/>
      <c r="IG76" s="1713"/>
      <c r="IH76" s="1713"/>
      <c r="II76" s="1713"/>
      <c r="IJ76" s="1713"/>
      <c r="IK76" s="1713"/>
      <c r="IL76" s="1713"/>
      <c r="IM76" s="1713"/>
      <c r="IN76" s="1713"/>
      <c r="IO76" s="1713"/>
      <c r="IP76" s="1713"/>
      <c r="IQ76" s="1713"/>
      <c r="IR76" s="1713"/>
      <c r="IS76" s="1713"/>
      <c r="IT76" s="1713"/>
      <c r="IU76" s="1713"/>
      <c r="IV76" s="1713"/>
    </row>
    <row r="77" spans="1:256" s="1712" customFormat="1" ht="17" thickTop="1">
      <c r="A77" s="1946" t="s">
        <v>234</v>
      </c>
      <c r="B77" s="1947"/>
      <c r="C77" s="1947"/>
      <c r="D77" s="1947"/>
      <c r="E77" s="1948" t="s">
        <v>2580</v>
      </c>
      <c r="F77" s="1949">
        <f t="shared" si="41"/>
        <v>0</v>
      </c>
      <c r="G77" s="1950">
        <f t="shared" ref="G77:N77" si="44">IF(G76&lt;0,ROUNDUP(G76,-3),ROUNDDOWN(G76,-3))</f>
        <v>0</v>
      </c>
      <c r="H77" s="1950">
        <f t="shared" si="44"/>
        <v>0</v>
      </c>
      <c r="I77" s="1950">
        <f t="shared" si="44"/>
        <v>0</v>
      </c>
      <c r="J77" s="1950">
        <f>IF(J76&lt;0,ROUNDUP(J76,-3),ROUNDDOWN(J76,-3))</f>
        <v>0</v>
      </c>
      <c r="K77" s="1950">
        <f>IF(K76&lt;0,ROUNDUP(K76,-3),ROUNDDOWN(K76,-3))</f>
        <v>0</v>
      </c>
      <c r="L77" s="1950">
        <f t="shared" si="44"/>
        <v>0</v>
      </c>
      <c r="M77" s="1950">
        <f t="shared" si="44"/>
        <v>0</v>
      </c>
      <c r="N77" s="1951">
        <f t="shared" si="44"/>
        <v>0</v>
      </c>
      <c r="IA77" s="1713"/>
      <c r="IB77" s="1713"/>
      <c r="IC77" s="1713"/>
      <c r="ID77" s="1713"/>
      <c r="IE77" s="1713"/>
      <c r="IF77" s="1713"/>
      <c r="IG77" s="1713"/>
      <c r="IH77" s="1713"/>
      <c r="II77" s="1713"/>
      <c r="IJ77" s="1713"/>
      <c r="IK77" s="1713"/>
      <c r="IL77" s="1713"/>
      <c r="IM77" s="1713"/>
      <c r="IN77" s="1713"/>
      <c r="IO77" s="1713"/>
      <c r="IP77" s="1713"/>
      <c r="IQ77" s="1713"/>
      <c r="IR77" s="1713"/>
      <c r="IS77" s="1713"/>
      <c r="IT77" s="1713"/>
      <c r="IU77" s="1713"/>
      <c r="IV77" s="1713"/>
    </row>
    <row r="78" spans="1:256" s="1712" customFormat="1" ht="16">
      <c r="A78" s="1952"/>
      <c r="B78" s="2974" t="s">
        <v>2581</v>
      </c>
      <c r="C78" s="1953" t="s">
        <v>2744</v>
      </c>
      <c r="D78" s="1953"/>
      <c r="E78" s="1953"/>
      <c r="F78" s="1924">
        <f t="shared" si="41"/>
        <v>0</v>
      </c>
      <c r="G78" s="1925">
        <f t="shared" ref="G78:N78" si="45">+G317-G104</f>
        <v>0</v>
      </c>
      <c r="H78" s="1925">
        <f t="shared" si="45"/>
        <v>0</v>
      </c>
      <c r="I78" s="1925">
        <f t="shared" si="45"/>
        <v>0</v>
      </c>
      <c r="J78" s="1925">
        <f>+J317-J104</f>
        <v>0</v>
      </c>
      <c r="K78" s="1925">
        <f>+K317-K104</f>
        <v>0</v>
      </c>
      <c r="L78" s="1925">
        <f t="shared" si="45"/>
        <v>0</v>
      </c>
      <c r="M78" s="1925">
        <f t="shared" si="45"/>
        <v>0</v>
      </c>
      <c r="N78" s="1926">
        <f t="shared" si="45"/>
        <v>0</v>
      </c>
      <c r="IA78" s="1713"/>
      <c r="IB78" s="1713"/>
      <c r="IC78" s="1713"/>
      <c r="ID78" s="1713"/>
      <c r="IE78" s="1713"/>
      <c r="IF78" s="1713"/>
      <c r="IG78" s="1713"/>
      <c r="IH78" s="1713"/>
      <c r="II78" s="1713"/>
      <c r="IJ78" s="1713"/>
      <c r="IK78" s="1713"/>
      <c r="IL78" s="1713"/>
      <c r="IM78" s="1713"/>
      <c r="IN78" s="1713"/>
      <c r="IO78" s="1713"/>
      <c r="IP78" s="1713"/>
      <c r="IQ78" s="1713"/>
      <c r="IR78" s="1713"/>
      <c r="IS78" s="1713"/>
      <c r="IT78" s="1713"/>
      <c r="IU78" s="1713"/>
      <c r="IV78" s="1713"/>
    </row>
    <row r="79" spans="1:256" s="1712" customFormat="1" ht="17" thickBot="1">
      <c r="A79" s="1954"/>
      <c r="B79" s="2975"/>
      <c r="C79" s="1955" t="s">
        <v>2583</v>
      </c>
      <c r="D79" s="1955"/>
      <c r="E79" s="1955"/>
      <c r="F79" s="1935">
        <f t="shared" si="41"/>
        <v>0</v>
      </c>
      <c r="G79" s="1956">
        <f t="shared" ref="G79:N79" si="46">+G77-G78</f>
        <v>0</v>
      </c>
      <c r="H79" s="1956">
        <f t="shared" si="46"/>
        <v>0</v>
      </c>
      <c r="I79" s="1956">
        <f t="shared" si="46"/>
        <v>0</v>
      </c>
      <c r="J79" s="1956">
        <f>+J77-J78</f>
        <v>0</v>
      </c>
      <c r="K79" s="1956">
        <f>+K77-K78</f>
        <v>0</v>
      </c>
      <c r="L79" s="1956">
        <f t="shared" si="46"/>
        <v>0</v>
      </c>
      <c r="M79" s="1956">
        <f t="shared" si="46"/>
        <v>0</v>
      </c>
      <c r="N79" s="1957">
        <f t="shared" si="46"/>
        <v>0</v>
      </c>
      <c r="IA79" s="1713"/>
      <c r="IB79" s="1713"/>
      <c r="IC79" s="1713"/>
      <c r="ID79" s="1713"/>
      <c r="IE79" s="1713"/>
      <c r="IF79" s="1713"/>
      <c r="IG79" s="1713"/>
      <c r="IH79" s="1713"/>
      <c r="II79" s="1713"/>
      <c r="IJ79" s="1713"/>
      <c r="IK79" s="1713"/>
      <c r="IL79" s="1713"/>
      <c r="IM79" s="1713"/>
      <c r="IN79" s="1713"/>
      <c r="IO79" s="1713"/>
      <c r="IP79" s="1713"/>
      <c r="IQ79" s="1713"/>
      <c r="IR79" s="1713"/>
      <c r="IS79" s="1713"/>
      <c r="IT79" s="1713"/>
      <c r="IU79" s="1713"/>
      <c r="IV79" s="1713"/>
    </row>
    <row r="80" spans="1:256" s="1712" customFormat="1" ht="17" thickTop="1">
      <c r="A80" s="1946" t="s">
        <v>2584</v>
      </c>
      <c r="B80" s="1947"/>
      <c r="C80" s="1947"/>
      <c r="D80" s="1947"/>
      <c r="E80" s="1948" t="s">
        <v>2580</v>
      </c>
      <c r="F80" s="1949">
        <f t="shared" si="41"/>
        <v>0</v>
      </c>
      <c r="G80" s="1950">
        <f t="shared" ref="G80:N80" si="47">IF(G76&lt;0,ROUNDUP(G76*$G$2,-3),ROUNDDOWN(G76*$G$2,-3))</f>
        <v>0</v>
      </c>
      <c r="H80" s="1950">
        <f t="shared" si="47"/>
        <v>0</v>
      </c>
      <c r="I80" s="1950">
        <f t="shared" si="47"/>
        <v>0</v>
      </c>
      <c r="J80" s="1950">
        <f>IF(J76&lt;0,ROUNDUP(J76*$G$2,-3),ROUNDDOWN(J76*$G$2,-3))</f>
        <v>0</v>
      </c>
      <c r="K80" s="1950">
        <f>IF(K76&lt;0,ROUNDUP(K76*$G$2,-3),ROUNDDOWN(K76*$G$2,-3))</f>
        <v>0</v>
      </c>
      <c r="L80" s="1950">
        <f t="shared" si="47"/>
        <v>0</v>
      </c>
      <c r="M80" s="1950">
        <f t="shared" si="47"/>
        <v>0</v>
      </c>
      <c r="N80" s="1958">
        <f t="shared" si="47"/>
        <v>0</v>
      </c>
      <c r="IA80" s="1713"/>
      <c r="IB80" s="1713"/>
      <c r="IC80" s="1713"/>
      <c r="ID80" s="1713"/>
      <c r="IE80" s="1713"/>
      <c r="IF80" s="1713"/>
      <c r="IG80" s="1713"/>
      <c r="IH80" s="1713"/>
      <c r="II80" s="1713"/>
      <c r="IJ80" s="1713"/>
      <c r="IK80" s="1713"/>
      <c r="IL80" s="1713"/>
      <c r="IM80" s="1713"/>
      <c r="IN80" s="1713"/>
      <c r="IO80" s="1713"/>
      <c r="IP80" s="1713"/>
      <c r="IQ80" s="1713"/>
      <c r="IR80" s="1713"/>
      <c r="IS80" s="1713"/>
      <c r="IT80" s="1713"/>
      <c r="IU80" s="1713"/>
      <c r="IV80" s="1713"/>
    </row>
    <row r="81" spans="1:256" s="1712" customFormat="1" ht="16">
      <c r="A81" s="1952"/>
      <c r="B81" s="2974" t="s">
        <v>2581</v>
      </c>
      <c r="C81" s="1953" t="s">
        <v>2744</v>
      </c>
      <c r="D81" s="1953"/>
      <c r="E81" s="1953"/>
      <c r="F81" s="1924">
        <f t="shared" si="41"/>
        <v>0</v>
      </c>
      <c r="G81" s="1959">
        <f t="shared" ref="G81:N81" si="48">IF(G78&lt;0,ROUNDDOWN(G78*$G$2,0),ROUNDUP(G78*$G$2,0))</f>
        <v>0</v>
      </c>
      <c r="H81" s="1959">
        <f t="shared" si="48"/>
        <v>0</v>
      </c>
      <c r="I81" s="1959">
        <f t="shared" si="48"/>
        <v>0</v>
      </c>
      <c r="J81" s="1959">
        <f>IF(J78&lt;0,ROUNDDOWN(J78*$G$2,0),ROUNDUP(J78*$G$2,0))</f>
        <v>0</v>
      </c>
      <c r="K81" s="1959">
        <f>IF(K78&lt;0,ROUNDDOWN(K78*$G$2,0),ROUNDUP(K78*$G$2,0))</f>
        <v>0</v>
      </c>
      <c r="L81" s="1959">
        <f t="shared" si="48"/>
        <v>0</v>
      </c>
      <c r="M81" s="1959">
        <f t="shared" si="48"/>
        <v>0</v>
      </c>
      <c r="N81" s="1960">
        <f t="shared" si="48"/>
        <v>0</v>
      </c>
      <c r="IA81" s="1713"/>
      <c r="IB81" s="1713"/>
      <c r="IC81" s="1713"/>
      <c r="ID81" s="1713"/>
      <c r="IE81" s="1713"/>
      <c r="IF81" s="1713"/>
      <c r="IG81" s="1713"/>
      <c r="IH81" s="1713"/>
      <c r="II81" s="1713"/>
      <c r="IJ81" s="1713"/>
      <c r="IK81" s="1713"/>
      <c r="IL81" s="1713"/>
      <c r="IM81" s="1713"/>
      <c r="IN81" s="1713"/>
      <c r="IO81" s="1713"/>
      <c r="IP81" s="1713"/>
      <c r="IQ81" s="1713"/>
      <c r="IR81" s="1713"/>
      <c r="IS81" s="1713"/>
      <c r="IT81" s="1713"/>
      <c r="IU81" s="1713"/>
      <c r="IV81" s="1713"/>
    </row>
    <row r="82" spans="1:256" s="1712" customFormat="1" ht="16">
      <c r="A82" s="1954"/>
      <c r="B82" s="2976"/>
      <c r="C82" s="1955" t="s">
        <v>2583</v>
      </c>
      <c r="D82" s="1955"/>
      <c r="E82" s="1955"/>
      <c r="F82" s="1935">
        <f t="shared" si="41"/>
        <v>0</v>
      </c>
      <c r="G82" s="1956">
        <f t="shared" ref="G82:N82" si="49">+G80-G81</f>
        <v>0</v>
      </c>
      <c r="H82" s="1956">
        <f t="shared" si="49"/>
        <v>0</v>
      </c>
      <c r="I82" s="1956">
        <f t="shared" si="49"/>
        <v>0</v>
      </c>
      <c r="J82" s="1956">
        <f>+J80-J81</f>
        <v>0</v>
      </c>
      <c r="K82" s="1956">
        <f>+K80-K81</f>
        <v>0</v>
      </c>
      <c r="L82" s="1956">
        <f t="shared" si="49"/>
        <v>0</v>
      </c>
      <c r="M82" s="1956">
        <f t="shared" si="49"/>
        <v>0</v>
      </c>
      <c r="N82" s="1957">
        <f t="shared" si="49"/>
        <v>0</v>
      </c>
      <c r="IA82" s="1713"/>
      <c r="IB82" s="1713"/>
      <c r="IC82" s="1713"/>
      <c r="ID82" s="1713"/>
      <c r="IE82" s="1713"/>
      <c r="IF82" s="1713"/>
      <c r="IG82" s="1713"/>
      <c r="IH82" s="1713"/>
      <c r="II82" s="1713"/>
      <c r="IJ82" s="1713"/>
      <c r="IK82" s="1713"/>
      <c r="IL82" s="1713"/>
      <c r="IM82" s="1713"/>
      <c r="IN82" s="1713"/>
      <c r="IO82" s="1713"/>
      <c r="IP82" s="1713"/>
      <c r="IQ82" s="1713"/>
      <c r="IR82" s="1713"/>
      <c r="IS82" s="1713"/>
      <c r="IT82" s="1713"/>
      <c r="IU82" s="1713"/>
      <c r="IV82" s="1713"/>
    </row>
    <row r="85" spans="1:256" ht="13.5" customHeight="1">
      <c r="A85" s="1705"/>
      <c r="B85" s="1705"/>
      <c r="C85" s="1706"/>
      <c r="D85" s="1706"/>
      <c r="E85" s="1707" t="s">
        <v>2501</v>
      </c>
      <c r="F85" s="1961" t="s">
        <v>2807</v>
      </c>
      <c r="G85" s="1962"/>
      <c r="H85" s="1962"/>
      <c r="I85" s="1715"/>
      <c r="J85" s="1715"/>
      <c r="K85" s="1715"/>
      <c r="L85" s="1715"/>
      <c r="M85" s="1963"/>
      <c r="N85" s="1711" t="s">
        <v>2841</v>
      </c>
    </row>
    <row r="86" spans="1:256" ht="13.5" customHeight="1">
      <c r="A86" s="1705"/>
      <c r="B86" s="1705"/>
      <c r="C86" s="1964" t="s">
        <v>2842</v>
      </c>
      <c r="D86" s="1965"/>
      <c r="E86" s="1706"/>
      <c r="F86" s="1706"/>
      <c r="G86" s="1966"/>
      <c r="H86" s="1715"/>
      <c r="I86" s="1715"/>
      <c r="J86" s="1715"/>
      <c r="K86" s="1715"/>
      <c r="L86" s="1715"/>
      <c r="M86" s="1705"/>
      <c r="N86" s="1967"/>
    </row>
    <row r="87" spans="1:256" ht="13.5" customHeight="1">
      <c r="A87" s="1968"/>
      <c r="B87" s="1969"/>
      <c r="C87" s="1970" t="s">
        <v>2510</v>
      </c>
      <c r="D87" s="1971"/>
      <c r="E87" s="1972"/>
      <c r="F87" s="1973" t="s">
        <v>2588</v>
      </c>
      <c r="G87" s="1974"/>
      <c r="H87" s="1974"/>
      <c r="I87" s="1974"/>
      <c r="J87" s="1974"/>
      <c r="K87" s="1974"/>
      <c r="L87" s="1975"/>
      <c r="M87" s="1975"/>
      <c r="N87" s="1976"/>
    </row>
    <row r="88" spans="1:256" ht="13.5" customHeight="1">
      <c r="A88" s="1977"/>
      <c r="B88" s="1978"/>
      <c r="C88" s="1979" t="s">
        <v>2512</v>
      </c>
      <c r="D88" s="1980"/>
      <c r="E88" s="1981"/>
      <c r="F88" s="1982" t="s">
        <v>2843</v>
      </c>
      <c r="G88" s="1983" t="s">
        <v>2844</v>
      </c>
      <c r="H88" s="1983"/>
      <c r="I88" s="1983"/>
      <c r="J88" s="1983"/>
      <c r="K88" s="1983"/>
      <c r="L88" s="1983"/>
      <c r="M88" s="1983"/>
      <c r="N88" s="1984"/>
    </row>
    <row r="89" spans="1:256" ht="13.5" customHeight="1">
      <c r="A89" s="1985"/>
      <c r="B89" s="1986"/>
      <c r="C89" s="1986" t="s">
        <v>2749</v>
      </c>
      <c r="D89" s="1986"/>
      <c r="E89" s="1987" t="s">
        <v>2591</v>
      </c>
      <c r="F89" s="1988" t="s">
        <v>2505</v>
      </c>
      <c r="G89" s="1989" t="s">
        <v>2845</v>
      </c>
      <c r="H89" s="1989"/>
      <c r="I89" s="1989"/>
      <c r="J89" s="1989"/>
      <c r="K89" s="1989"/>
      <c r="L89" s="1990"/>
      <c r="M89" s="1990"/>
      <c r="N89" s="1991"/>
    </row>
    <row r="90" spans="1:256" ht="13.5" customHeight="1">
      <c r="A90" s="1759"/>
      <c r="B90" s="1740"/>
      <c r="C90" s="1992" t="s">
        <v>2592</v>
      </c>
      <c r="D90" s="1992"/>
      <c r="E90" s="1993" t="s">
        <v>2591</v>
      </c>
      <c r="F90" s="1994" t="s">
        <v>2593</v>
      </c>
      <c r="G90" s="1995"/>
      <c r="H90" s="1995"/>
      <c r="I90" s="1995"/>
      <c r="J90" s="1995"/>
      <c r="K90" s="1995"/>
      <c r="L90" s="1995"/>
      <c r="M90" s="1995"/>
      <c r="N90" s="1996"/>
    </row>
    <row r="91" spans="1:256" ht="13.5" customHeight="1">
      <c r="A91" s="1759"/>
      <c r="B91" s="1740"/>
      <c r="C91" s="2977" t="s">
        <v>2826</v>
      </c>
      <c r="D91" s="2977"/>
      <c r="E91" s="2977"/>
      <c r="F91" s="2978"/>
      <c r="G91" s="1997" t="s">
        <v>2594</v>
      </c>
      <c r="H91" s="1997"/>
      <c r="I91" s="1997"/>
      <c r="J91" s="1997"/>
      <c r="K91" s="1997"/>
      <c r="L91" s="1997"/>
      <c r="M91" s="1997"/>
      <c r="N91" s="1998"/>
    </row>
    <row r="92" spans="1:256" ht="30" customHeight="1">
      <c r="A92" s="2940" t="s">
        <v>2514</v>
      </c>
      <c r="B92" s="2979"/>
      <c r="C92" s="2979"/>
      <c r="D92" s="2979"/>
      <c r="E92" s="2979"/>
      <c r="F92" s="2980"/>
      <c r="G92" s="1999" t="s">
        <v>2595</v>
      </c>
      <c r="H92" s="1999"/>
      <c r="I92" s="1999"/>
      <c r="J92" s="1999"/>
      <c r="K92" s="1999"/>
      <c r="L92" s="1999"/>
      <c r="M92" s="1999"/>
      <c r="N92" s="2000"/>
    </row>
    <row r="93" spans="1:256" ht="30" customHeight="1">
      <c r="A93" s="2981" t="s">
        <v>2515</v>
      </c>
      <c r="B93" s="2982"/>
      <c r="C93" s="2982"/>
      <c r="D93" s="2982"/>
      <c r="E93" s="2982"/>
      <c r="F93" s="2983"/>
      <c r="G93" s="2001" t="s">
        <v>2596</v>
      </c>
      <c r="H93" s="2001"/>
      <c r="I93" s="2001"/>
      <c r="J93" s="2001"/>
      <c r="K93" s="2001"/>
      <c r="L93" s="2001"/>
      <c r="M93" s="2001"/>
      <c r="N93" s="2002"/>
    </row>
    <row r="94" spans="1:256" ht="13.5" customHeight="1">
      <c r="A94" s="1985"/>
      <c r="B94" s="2003" t="s">
        <v>2721</v>
      </c>
      <c r="C94" s="2004"/>
      <c r="D94" s="2004"/>
      <c r="E94" s="2005"/>
      <c r="F94" s="2006">
        <f t="shared" ref="F94:F105" si="50">SUM(G94:N94)</f>
        <v>0</v>
      </c>
      <c r="G94" s="2007"/>
      <c r="H94" s="2007"/>
      <c r="I94" s="2007"/>
      <c r="J94" s="2007"/>
      <c r="K94" s="2007"/>
      <c r="L94" s="2008"/>
      <c r="M94" s="2008"/>
      <c r="N94" s="2009"/>
    </row>
    <row r="95" spans="1:256" ht="13.5" customHeight="1">
      <c r="A95" s="1759"/>
      <c r="B95" s="1782" t="s">
        <v>2518</v>
      </c>
      <c r="C95" s="2010"/>
      <c r="D95" s="2011"/>
      <c r="E95" s="2012"/>
      <c r="F95" s="2013">
        <f t="shared" si="50"/>
        <v>0</v>
      </c>
      <c r="G95" s="2014">
        <f t="shared" ref="G95:N95" si="51">SUM(G96:G97)</f>
        <v>0</v>
      </c>
      <c r="H95" s="2014">
        <f t="shared" si="51"/>
        <v>0</v>
      </c>
      <c r="I95" s="2014">
        <f t="shared" si="51"/>
        <v>0</v>
      </c>
      <c r="J95" s="2014">
        <f>SUM(J96:J97)</f>
        <v>0</v>
      </c>
      <c r="K95" s="2014">
        <f>SUM(K96:K97)</f>
        <v>0</v>
      </c>
      <c r="L95" s="2014">
        <f t="shared" si="51"/>
        <v>0</v>
      </c>
      <c r="M95" s="2014">
        <f t="shared" si="51"/>
        <v>0</v>
      </c>
      <c r="N95" s="2015">
        <f t="shared" si="51"/>
        <v>0</v>
      </c>
    </row>
    <row r="96" spans="1:256" ht="13.5" customHeight="1">
      <c r="A96" s="1759"/>
      <c r="B96" s="1782" t="s">
        <v>2519</v>
      </c>
      <c r="C96" s="1992"/>
      <c r="D96" s="1992"/>
      <c r="E96" s="2016"/>
      <c r="F96" s="2017">
        <f t="shared" si="50"/>
        <v>0</v>
      </c>
      <c r="G96" s="2018">
        <f t="shared" ref="G96:N96" si="52">G172</f>
        <v>0</v>
      </c>
      <c r="H96" s="2018">
        <f t="shared" si="52"/>
        <v>0</v>
      </c>
      <c r="I96" s="2018">
        <f t="shared" si="52"/>
        <v>0</v>
      </c>
      <c r="J96" s="2018">
        <f>J172</f>
        <v>0</v>
      </c>
      <c r="K96" s="2018">
        <f>K172</f>
        <v>0</v>
      </c>
      <c r="L96" s="2018">
        <f t="shared" si="52"/>
        <v>0</v>
      </c>
      <c r="M96" s="2018">
        <f t="shared" si="52"/>
        <v>0</v>
      </c>
      <c r="N96" s="2019">
        <f t="shared" si="52"/>
        <v>0</v>
      </c>
    </row>
    <row r="97" spans="1:14" ht="13.5" customHeight="1">
      <c r="A97" s="1759"/>
      <c r="B97" s="1782" t="s">
        <v>2525</v>
      </c>
      <c r="C97" s="1992"/>
      <c r="D97" s="1992"/>
      <c r="E97" s="2016"/>
      <c r="F97" s="2020">
        <f t="shared" si="50"/>
        <v>0</v>
      </c>
      <c r="G97" s="2021"/>
      <c r="H97" s="2021"/>
      <c r="I97" s="2021"/>
      <c r="J97" s="2021"/>
      <c r="K97" s="2021"/>
      <c r="L97" s="2022"/>
      <c r="M97" s="2022"/>
      <c r="N97" s="2023"/>
    </row>
    <row r="98" spans="1:14" ht="13.5" customHeight="1">
      <c r="A98" s="1759"/>
      <c r="B98" s="2024" t="s">
        <v>2829</v>
      </c>
      <c r="C98" s="2025"/>
      <c r="D98" s="2026"/>
      <c r="E98" s="2027"/>
      <c r="F98" s="2028">
        <f t="shared" si="50"/>
        <v>0</v>
      </c>
      <c r="G98" s="2029"/>
      <c r="H98" s="2029"/>
      <c r="I98" s="2029"/>
      <c r="J98" s="2029"/>
      <c r="K98" s="2029"/>
      <c r="L98" s="2030"/>
      <c r="M98" s="2030"/>
      <c r="N98" s="2031"/>
    </row>
    <row r="99" spans="1:14" ht="13.5" hidden="1" customHeight="1">
      <c r="A99" s="2032"/>
      <c r="B99" s="2033"/>
      <c r="C99" s="2034" t="s">
        <v>2846</v>
      </c>
      <c r="D99" s="2035"/>
      <c r="E99" s="2036"/>
      <c r="F99" s="2037">
        <f t="shared" si="50"/>
        <v>0</v>
      </c>
      <c r="G99" s="2038"/>
      <c r="H99" s="2038"/>
      <c r="I99" s="2038"/>
      <c r="J99" s="2038"/>
      <c r="K99" s="2038"/>
      <c r="L99" s="2039"/>
      <c r="M99" s="2039"/>
      <c r="N99" s="2040"/>
    </row>
    <row r="100" spans="1:14" ht="13.5" hidden="1" customHeight="1">
      <c r="A100" s="2032"/>
      <c r="B100" s="2033"/>
      <c r="C100" s="2034" t="s">
        <v>2847</v>
      </c>
      <c r="D100" s="2035"/>
      <c r="E100" s="2036"/>
      <c r="F100" s="2037">
        <f t="shared" si="50"/>
        <v>0</v>
      </c>
      <c r="G100" s="2038"/>
      <c r="H100" s="2038"/>
      <c r="I100" s="2038"/>
      <c r="J100" s="2038"/>
      <c r="K100" s="2038"/>
      <c r="L100" s="2039"/>
      <c r="M100" s="2039"/>
      <c r="N100" s="2040"/>
    </row>
    <row r="101" spans="1:14" ht="13.5" hidden="1" customHeight="1">
      <c r="A101" s="2032"/>
      <c r="B101" s="2033"/>
      <c r="C101" s="2034" t="s">
        <v>2527</v>
      </c>
      <c r="D101" s="2035"/>
      <c r="E101" s="2036"/>
      <c r="F101" s="2037">
        <f t="shared" si="50"/>
        <v>0</v>
      </c>
      <c r="G101" s="2038"/>
      <c r="H101" s="2038"/>
      <c r="I101" s="2038"/>
      <c r="J101" s="2038"/>
      <c r="K101" s="2038"/>
      <c r="L101" s="2039"/>
      <c r="M101" s="2039"/>
      <c r="N101" s="2040"/>
    </row>
    <row r="102" spans="1:14" ht="13.5" hidden="1" customHeight="1">
      <c r="A102" s="2041"/>
      <c r="B102" s="2042"/>
      <c r="C102" s="2043" t="s">
        <v>2848</v>
      </c>
      <c r="D102" s="2044"/>
      <c r="E102" s="2027"/>
      <c r="F102" s="2045">
        <f t="shared" si="50"/>
        <v>0</v>
      </c>
      <c r="G102" s="2029"/>
      <c r="H102" s="2029"/>
      <c r="I102" s="2029"/>
      <c r="J102" s="2029"/>
      <c r="K102" s="2029"/>
      <c r="L102" s="2030"/>
      <c r="M102" s="2030"/>
      <c r="N102" s="2031"/>
    </row>
    <row r="103" spans="1:14" ht="13.5" hidden="1" customHeight="1">
      <c r="A103" s="2046"/>
      <c r="B103" s="2047"/>
      <c r="C103" s="2048" t="s">
        <v>2601</v>
      </c>
      <c r="D103" s="2049"/>
      <c r="E103" s="2050"/>
      <c r="F103" s="2051">
        <f t="shared" si="50"/>
        <v>0</v>
      </c>
      <c r="G103" s="2052"/>
      <c r="H103" s="2052"/>
      <c r="I103" s="2052"/>
      <c r="J103" s="2052"/>
      <c r="K103" s="2052"/>
      <c r="L103" s="2053"/>
      <c r="M103" s="2053"/>
      <c r="N103" s="2054"/>
    </row>
    <row r="104" spans="1:14" ht="13.5" customHeight="1">
      <c r="A104" s="1985"/>
      <c r="B104" s="2055" t="s">
        <v>2811</v>
      </c>
      <c r="C104" s="2056"/>
      <c r="D104" s="2056"/>
      <c r="E104" s="2057"/>
      <c r="F104" s="2006">
        <f t="shared" si="50"/>
        <v>0</v>
      </c>
      <c r="G104" s="2058">
        <f t="shared" ref="G104:N104" si="53">SUM(G179:G194)</f>
        <v>0</v>
      </c>
      <c r="H104" s="2058">
        <f t="shared" si="53"/>
        <v>0</v>
      </c>
      <c r="I104" s="2058">
        <f t="shared" si="53"/>
        <v>0</v>
      </c>
      <c r="J104" s="2058">
        <f>SUM(J179:J194)</f>
        <v>0</v>
      </c>
      <c r="K104" s="2058">
        <f>SUM(K179:K194)</f>
        <v>0</v>
      </c>
      <c r="L104" s="2058">
        <f t="shared" si="53"/>
        <v>0</v>
      </c>
      <c r="M104" s="2058">
        <f t="shared" si="53"/>
        <v>0</v>
      </c>
      <c r="N104" s="2059">
        <f t="shared" si="53"/>
        <v>0</v>
      </c>
    </row>
    <row r="105" spans="1:14" ht="13.5" customHeight="1">
      <c r="A105" s="1759"/>
      <c r="B105" s="1740"/>
      <c r="C105" s="2060" t="s">
        <v>2849</v>
      </c>
      <c r="D105" s="2061"/>
      <c r="E105" s="2062"/>
      <c r="F105" s="2013">
        <f t="shared" si="50"/>
        <v>0</v>
      </c>
      <c r="G105" s="2063">
        <f t="shared" ref="G105:N105" si="54">G104-G108</f>
        <v>0</v>
      </c>
      <c r="H105" s="2063">
        <f t="shared" si="54"/>
        <v>0</v>
      </c>
      <c r="I105" s="2063">
        <f t="shared" si="54"/>
        <v>0</v>
      </c>
      <c r="J105" s="2063">
        <f>J104-J108</f>
        <v>0</v>
      </c>
      <c r="K105" s="2063">
        <f>K104-K108</f>
        <v>0</v>
      </c>
      <c r="L105" s="2063">
        <f t="shared" si="54"/>
        <v>0</v>
      </c>
      <c r="M105" s="2063">
        <f t="shared" si="54"/>
        <v>0</v>
      </c>
      <c r="N105" s="2064">
        <f t="shared" si="54"/>
        <v>0</v>
      </c>
    </row>
    <row r="106" spans="1:14" ht="13.5" customHeight="1">
      <c r="A106" s="1759"/>
      <c r="B106" s="1740"/>
      <c r="C106" s="2065"/>
      <c r="D106" s="2065"/>
      <c r="E106" s="2066"/>
      <c r="F106" s="2067" t="s">
        <v>2753</v>
      </c>
      <c r="G106" s="2068">
        <f t="shared" ref="G106:N106" si="55">SUM(G183:G194)</f>
        <v>0</v>
      </c>
      <c r="H106" s="2068">
        <f t="shared" si="55"/>
        <v>0</v>
      </c>
      <c r="I106" s="2068">
        <f t="shared" si="55"/>
        <v>0</v>
      </c>
      <c r="J106" s="2068">
        <f>SUM(J183:J194)</f>
        <v>0</v>
      </c>
      <c r="K106" s="2068">
        <f>SUM(K183:K194)</f>
        <v>0</v>
      </c>
      <c r="L106" s="2068">
        <f t="shared" si="55"/>
        <v>0</v>
      </c>
      <c r="M106" s="2068">
        <f t="shared" si="55"/>
        <v>0</v>
      </c>
      <c r="N106" s="2069">
        <f t="shared" si="55"/>
        <v>0</v>
      </c>
    </row>
    <row r="107" spans="1:14" ht="13.5" customHeight="1">
      <c r="A107" s="1759"/>
      <c r="B107" s="1740"/>
      <c r="C107" s="2065"/>
      <c r="D107" s="2065"/>
      <c r="E107" s="2066"/>
      <c r="F107" s="2067" t="s">
        <v>2599</v>
      </c>
      <c r="G107" s="2068">
        <f t="shared" ref="G107:N107" si="56">SUM(G183:G190,G142)</f>
        <v>0</v>
      </c>
      <c r="H107" s="2068">
        <f t="shared" si="56"/>
        <v>0</v>
      </c>
      <c r="I107" s="2068">
        <f t="shared" si="56"/>
        <v>0</v>
      </c>
      <c r="J107" s="2068">
        <f>SUM(J183:J190,J142)</f>
        <v>0</v>
      </c>
      <c r="K107" s="2068">
        <f>SUM(K183:K190,K142)</f>
        <v>0</v>
      </c>
      <c r="L107" s="2068">
        <f t="shared" si="56"/>
        <v>0</v>
      </c>
      <c r="M107" s="2068">
        <f t="shared" si="56"/>
        <v>0</v>
      </c>
      <c r="N107" s="2069">
        <f t="shared" si="56"/>
        <v>0</v>
      </c>
    </row>
    <row r="108" spans="1:14" ht="13.5" customHeight="1">
      <c r="A108" s="2070"/>
      <c r="B108" s="2071"/>
      <c r="C108" s="2072" t="s">
        <v>2754</v>
      </c>
      <c r="D108" s="2072"/>
      <c r="E108" s="2073"/>
      <c r="F108" s="2074">
        <f t="shared" ref="F108:F117" si="57">SUM(G108:N108)</f>
        <v>0</v>
      </c>
      <c r="G108" s="2075">
        <f t="shared" ref="G108:N108" si="58">G98+G137+G138+G139+G142+G141+G182+G183</f>
        <v>0</v>
      </c>
      <c r="H108" s="2075">
        <f t="shared" si="58"/>
        <v>0</v>
      </c>
      <c r="I108" s="2075">
        <f t="shared" si="58"/>
        <v>0</v>
      </c>
      <c r="J108" s="2075">
        <f>J98+J137+J138+J139+J142+J141+J182+J183</f>
        <v>0</v>
      </c>
      <c r="K108" s="2075">
        <f>K98+K137+K138+K139+K142+K141+K182+K183</f>
        <v>0</v>
      </c>
      <c r="L108" s="2075">
        <f t="shared" si="58"/>
        <v>0</v>
      </c>
      <c r="M108" s="2075">
        <f t="shared" si="58"/>
        <v>0</v>
      </c>
      <c r="N108" s="2076">
        <f t="shared" si="58"/>
        <v>0</v>
      </c>
    </row>
    <row r="109" spans="1:14" ht="13.5" customHeight="1">
      <c r="A109" s="1759"/>
      <c r="B109" s="2077" t="s">
        <v>2755</v>
      </c>
      <c r="C109" s="2077"/>
      <c r="D109" s="2077"/>
      <c r="E109" s="2078"/>
      <c r="F109" s="2079">
        <f t="shared" si="57"/>
        <v>0</v>
      </c>
      <c r="G109" s="2080">
        <f t="shared" ref="G109:N109" si="59">G110+G113</f>
        <v>0</v>
      </c>
      <c r="H109" s="2080">
        <f t="shared" si="59"/>
        <v>0</v>
      </c>
      <c r="I109" s="2080">
        <f t="shared" si="59"/>
        <v>0</v>
      </c>
      <c r="J109" s="2080">
        <f>J110+J113</f>
        <v>0</v>
      </c>
      <c r="K109" s="2080">
        <f>K110+K113</f>
        <v>0</v>
      </c>
      <c r="L109" s="2080">
        <f t="shared" si="59"/>
        <v>0</v>
      </c>
      <c r="M109" s="2080">
        <f t="shared" si="59"/>
        <v>0</v>
      </c>
      <c r="N109" s="2081">
        <f t="shared" si="59"/>
        <v>0</v>
      </c>
    </row>
    <row r="110" spans="1:14" ht="13.5" customHeight="1">
      <c r="A110" s="1759"/>
      <c r="B110" s="1740"/>
      <c r="C110" s="2082" t="s">
        <v>2603</v>
      </c>
      <c r="D110" s="2082"/>
      <c r="E110" s="2083"/>
      <c r="F110" s="2013">
        <f t="shared" si="57"/>
        <v>0</v>
      </c>
      <c r="G110" s="2063">
        <f t="shared" ref="G110:N110" si="60">SUM(G111:G112)</f>
        <v>0</v>
      </c>
      <c r="H110" s="2063">
        <f t="shared" si="60"/>
        <v>0</v>
      </c>
      <c r="I110" s="2063">
        <f t="shared" si="60"/>
        <v>0</v>
      </c>
      <c r="J110" s="2063">
        <f>SUM(J111:J112)</f>
        <v>0</v>
      </c>
      <c r="K110" s="2063">
        <f>SUM(K111:K112)</f>
        <v>0</v>
      </c>
      <c r="L110" s="2063">
        <f t="shared" si="60"/>
        <v>0</v>
      </c>
      <c r="M110" s="2063">
        <f t="shared" si="60"/>
        <v>0</v>
      </c>
      <c r="N110" s="2064">
        <f t="shared" si="60"/>
        <v>0</v>
      </c>
    </row>
    <row r="111" spans="1:14" ht="13.5" customHeight="1">
      <c r="A111" s="1759"/>
      <c r="B111" s="1740"/>
      <c r="C111" s="2084" t="s">
        <v>2605</v>
      </c>
      <c r="D111" s="2084"/>
      <c r="E111" s="2066"/>
      <c r="F111" s="2085">
        <f t="shared" si="57"/>
        <v>0</v>
      </c>
      <c r="G111" s="2068">
        <f t="shared" ref="G111:N111" si="61">+G197+G199+G201+G202</f>
        <v>0</v>
      </c>
      <c r="H111" s="2068">
        <f t="shared" si="61"/>
        <v>0</v>
      </c>
      <c r="I111" s="2068">
        <f t="shared" si="61"/>
        <v>0</v>
      </c>
      <c r="J111" s="2068">
        <f>+J197+J199+J201+J202</f>
        <v>0</v>
      </c>
      <c r="K111" s="2068">
        <f>+K197+K199+K201+K202</f>
        <v>0</v>
      </c>
      <c r="L111" s="2068">
        <f t="shared" si="61"/>
        <v>0</v>
      </c>
      <c r="M111" s="2068">
        <f t="shared" si="61"/>
        <v>0</v>
      </c>
      <c r="N111" s="2069">
        <f t="shared" si="61"/>
        <v>0</v>
      </c>
    </row>
    <row r="112" spans="1:14" ht="13.5" customHeight="1">
      <c r="A112" s="1759"/>
      <c r="B112" s="1740"/>
      <c r="C112" s="2084" t="s">
        <v>2610</v>
      </c>
      <c r="D112" s="2084"/>
      <c r="E112" s="2066"/>
      <c r="F112" s="2085">
        <f t="shared" si="57"/>
        <v>0</v>
      </c>
      <c r="G112" s="2068">
        <f t="shared" ref="G112:N112" si="62">SUM(G203:G216)</f>
        <v>0</v>
      </c>
      <c r="H112" s="2068">
        <f t="shared" si="62"/>
        <v>0</v>
      </c>
      <c r="I112" s="2068">
        <f t="shared" si="62"/>
        <v>0</v>
      </c>
      <c r="J112" s="2068">
        <f>SUM(J203:J216)</f>
        <v>0</v>
      </c>
      <c r="K112" s="2068">
        <f>SUM(K203:K216)</f>
        <v>0</v>
      </c>
      <c r="L112" s="2068">
        <f t="shared" si="62"/>
        <v>0</v>
      </c>
      <c r="M112" s="2068">
        <f t="shared" si="62"/>
        <v>0</v>
      </c>
      <c r="N112" s="2069">
        <f t="shared" si="62"/>
        <v>0</v>
      </c>
    </row>
    <row r="113" spans="1:14" ht="13.5" customHeight="1">
      <c r="A113" s="2086"/>
      <c r="B113" s="2087"/>
      <c r="C113" s="2088" t="s">
        <v>2608</v>
      </c>
      <c r="D113" s="2088"/>
      <c r="E113" s="2089"/>
      <c r="F113" s="2090">
        <f t="shared" si="57"/>
        <v>0</v>
      </c>
      <c r="G113" s="2091">
        <f t="shared" ref="G113:N113" si="63">SUM(G114:G116)</f>
        <v>0</v>
      </c>
      <c r="H113" s="2091">
        <f t="shared" si="63"/>
        <v>0</v>
      </c>
      <c r="I113" s="2091">
        <f t="shared" si="63"/>
        <v>0</v>
      </c>
      <c r="J113" s="2091">
        <f>SUM(J114:J116)</f>
        <v>0</v>
      </c>
      <c r="K113" s="2091">
        <f>SUM(K114:K116)</f>
        <v>0</v>
      </c>
      <c r="L113" s="2091">
        <f t="shared" si="63"/>
        <v>0</v>
      </c>
      <c r="M113" s="2091">
        <f t="shared" si="63"/>
        <v>0</v>
      </c>
      <c r="N113" s="2092">
        <f t="shared" si="63"/>
        <v>0</v>
      </c>
    </row>
    <row r="114" spans="1:14" ht="13.5" customHeight="1">
      <c r="A114" s="2086"/>
      <c r="B114" s="2087"/>
      <c r="C114" s="2093" t="s">
        <v>2605</v>
      </c>
      <c r="D114" s="2093"/>
      <c r="E114" s="2089"/>
      <c r="F114" s="2090">
        <f t="shared" si="57"/>
        <v>0</v>
      </c>
      <c r="G114" s="2091">
        <f t="shared" ref="G114:N114" si="64">+G239-G254</f>
        <v>0</v>
      </c>
      <c r="H114" s="2091">
        <f t="shared" si="64"/>
        <v>0</v>
      </c>
      <c r="I114" s="2091">
        <f t="shared" si="64"/>
        <v>0</v>
      </c>
      <c r="J114" s="2091">
        <f>+J239-J254</f>
        <v>0</v>
      </c>
      <c r="K114" s="2091">
        <f>+K239-K254</f>
        <v>0</v>
      </c>
      <c r="L114" s="2091">
        <f t="shared" si="64"/>
        <v>0</v>
      </c>
      <c r="M114" s="2091">
        <f t="shared" si="64"/>
        <v>0</v>
      </c>
      <c r="N114" s="2092">
        <f t="shared" si="64"/>
        <v>0</v>
      </c>
    </row>
    <row r="115" spans="1:14" ht="13.5" customHeight="1">
      <c r="A115" s="2086"/>
      <c r="B115" s="2087"/>
      <c r="C115" s="2093" t="s">
        <v>2609</v>
      </c>
      <c r="D115" s="2093"/>
      <c r="E115" s="2089"/>
      <c r="F115" s="2090">
        <f t="shared" si="57"/>
        <v>0</v>
      </c>
      <c r="G115" s="2091">
        <f t="shared" ref="G115:N115" si="65">+G240+G241</f>
        <v>0</v>
      </c>
      <c r="H115" s="2091">
        <f t="shared" si="65"/>
        <v>0</v>
      </c>
      <c r="I115" s="2091">
        <f t="shared" si="65"/>
        <v>0</v>
      </c>
      <c r="J115" s="2091">
        <f>+J240+J241</f>
        <v>0</v>
      </c>
      <c r="K115" s="2091">
        <f>+K240+K241</f>
        <v>0</v>
      </c>
      <c r="L115" s="2091">
        <f t="shared" si="65"/>
        <v>0</v>
      </c>
      <c r="M115" s="2091">
        <f t="shared" si="65"/>
        <v>0</v>
      </c>
      <c r="N115" s="2092">
        <f t="shared" si="65"/>
        <v>0</v>
      </c>
    </row>
    <row r="116" spans="1:14" ht="13.5" customHeight="1">
      <c r="A116" s="2086"/>
      <c r="B116" s="2094"/>
      <c r="C116" s="2026" t="s">
        <v>2610</v>
      </c>
      <c r="D116" s="2026"/>
      <c r="E116" s="2095"/>
      <c r="F116" s="2096">
        <f t="shared" si="57"/>
        <v>0</v>
      </c>
      <c r="G116" s="2097">
        <f t="shared" ref="G116:N116" si="66">SUM(G242:G246)</f>
        <v>0</v>
      </c>
      <c r="H116" s="2097">
        <f t="shared" si="66"/>
        <v>0</v>
      </c>
      <c r="I116" s="2097">
        <f t="shared" si="66"/>
        <v>0</v>
      </c>
      <c r="J116" s="2097">
        <f>SUM(J242:J246)</f>
        <v>0</v>
      </c>
      <c r="K116" s="2097">
        <f>SUM(K242:K246)</f>
        <v>0</v>
      </c>
      <c r="L116" s="2097">
        <f t="shared" si="66"/>
        <v>0</v>
      </c>
      <c r="M116" s="2097">
        <f t="shared" si="66"/>
        <v>0</v>
      </c>
      <c r="N116" s="2098">
        <f t="shared" si="66"/>
        <v>0</v>
      </c>
    </row>
    <row r="117" spans="1:14" ht="13.5" customHeight="1">
      <c r="A117" s="2099"/>
      <c r="B117" s="2056" t="s">
        <v>2850</v>
      </c>
      <c r="C117" s="2100"/>
      <c r="D117" s="2056"/>
      <c r="E117" s="2101"/>
      <c r="F117" s="2006">
        <f t="shared" si="57"/>
        <v>0</v>
      </c>
      <c r="G117" s="2102">
        <f t="shared" ref="G117:N117" si="67">G104+G109</f>
        <v>0</v>
      </c>
      <c r="H117" s="2102">
        <f t="shared" si="67"/>
        <v>0</v>
      </c>
      <c r="I117" s="2102">
        <f t="shared" si="67"/>
        <v>0</v>
      </c>
      <c r="J117" s="2102">
        <f>J104+J109</f>
        <v>0</v>
      </c>
      <c r="K117" s="2102">
        <f>K104+K109</f>
        <v>0</v>
      </c>
      <c r="L117" s="2102">
        <f t="shared" si="67"/>
        <v>0</v>
      </c>
      <c r="M117" s="2102">
        <f t="shared" si="67"/>
        <v>0</v>
      </c>
      <c r="N117" s="2103">
        <f t="shared" si="67"/>
        <v>0</v>
      </c>
    </row>
    <row r="118" spans="1:14" ht="13.5" customHeight="1">
      <c r="A118" s="2004"/>
      <c r="B118" s="2004"/>
      <c r="C118" s="2104" t="s">
        <v>2812</v>
      </c>
      <c r="D118" s="2104"/>
      <c r="E118" s="2105"/>
      <c r="F118" s="2106"/>
      <c r="G118" s="2107" t="s">
        <v>2614</v>
      </c>
      <c r="H118" s="2108"/>
      <c r="I118" s="2108"/>
      <c r="J118" s="2108"/>
      <c r="K118" s="2108"/>
      <c r="L118" s="2108"/>
      <c r="M118" s="2108"/>
      <c r="N118" s="2108"/>
    </row>
    <row r="119" spans="1:14" ht="13.5" customHeight="1">
      <c r="A119" s="1985"/>
      <c r="B119" s="1986"/>
      <c r="C119" s="1986"/>
      <c r="D119" s="2109"/>
      <c r="E119" s="1988"/>
      <c r="F119" s="1988" t="s">
        <v>2505</v>
      </c>
      <c r="G119" s="1990" t="str">
        <f t="shared" ref="G119:N119" si="68">+G89</f>
        <v>工事１</v>
      </c>
      <c r="H119" s="1990">
        <f t="shared" si="68"/>
        <v>0</v>
      </c>
      <c r="I119" s="1990">
        <f t="shared" si="68"/>
        <v>0</v>
      </c>
      <c r="J119" s="1990">
        <f>+J89</f>
        <v>0</v>
      </c>
      <c r="K119" s="1990">
        <f>+K89</f>
        <v>0</v>
      </c>
      <c r="L119" s="1990">
        <f t="shared" si="68"/>
        <v>0</v>
      </c>
      <c r="M119" s="1990">
        <f t="shared" si="68"/>
        <v>0</v>
      </c>
      <c r="N119" s="1991">
        <f t="shared" si="68"/>
        <v>0</v>
      </c>
    </row>
    <row r="120" spans="1:14" ht="13.5" customHeight="1">
      <c r="A120" s="2110" t="s">
        <v>2757</v>
      </c>
      <c r="B120" s="2111"/>
      <c r="C120" s="2112"/>
      <c r="D120" s="2112"/>
      <c r="E120" s="2113"/>
      <c r="F120" s="2114"/>
      <c r="G120" s="2115"/>
      <c r="H120" s="2115"/>
      <c r="I120" s="2115"/>
      <c r="J120" s="2115"/>
      <c r="K120" s="2115"/>
      <c r="L120" s="2115"/>
      <c r="M120" s="2115"/>
      <c r="N120" s="2116"/>
    </row>
    <row r="121" spans="1:14" ht="13.5" customHeight="1">
      <c r="A121" s="2984"/>
      <c r="B121" s="2987" t="s">
        <v>2851</v>
      </c>
      <c r="C121" s="2061" t="s">
        <v>2530</v>
      </c>
      <c r="D121" s="2061"/>
      <c r="E121" s="2083"/>
      <c r="F121" s="2013">
        <f t="shared" ref="F121:F142" si="69">SUM(G121:N121)</f>
        <v>0</v>
      </c>
      <c r="G121" s="2117">
        <f t="shared" ref="G121:N121" si="70">IF(G88="新営",G94-SUM(G126:G132)-G136-G140,0)</f>
        <v>0</v>
      </c>
      <c r="H121" s="2117">
        <f t="shared" si="70"/>
        <v>0</v>
      </c>
      <c r="I121" s="2117">
        <f t="shared" si="70"/>
        <v>0</v>
      </c>
      <c r="J121" s="2117">
        <f>IF(J88="新営",J94-SUM(J126:J132)-J136-J140,0)</f>
        <v>0</v>
      </c>
      <c r="K121" s="2117">
        <f>IF(K88="新営",K94-SUM(K126:K132)-K136-K140,0)</f>
        <v>0</v>
      </c>
      <c r="L121" s="2117">
        <f t="shared" si="70"/>
        <v>0</v>
      </c>
      <c r="M121" s="2117">
        <f t="shared" si="70"/>
        <v>0</v>
      </c>
      <c r="N121" s="2118">
        <f t="shared" si="70"/>
        <v>0</v>
      </c>
    </row>
    <row r="122" spans="1:14" ht="13.5" customHeight="1">
      <c r="A122" s="2985"/>
      <c r="B122" s="2988"/>
      <c r="C122" s="2119" t="s">
        <v>2852</v>
      </c>
      <c r="D122" s="2119"/>
      <c r="E122" s="2120"/>
      <c r="F122" s="2121">
        <f t="shared" si="69"/>
        <v>0</v>
      </c>
      <c r="G122" s="2122">
        <f t="shared" ref="G122:N122" si="71">IF(G88="改修",G94-SUM(G126:G132)-G136-G140,0)</f>
        <v>0</v>
      </c>
      <c r="H122" s="2122">
        <f t="shared" si="71"/>
        <v>0</v>
      </c>
      <c r="I122" s="2122">
        <f t="shared" si="71"/>
        <v>0</v>
      </c>
      <c r="J122" s="2122">
        <f>IF(J88="改修",J94-SUM(J126:J132)-J136-J140,0)</f>
        <v>0</v>
      </c>
      <c r="K122" s="2122">
        <f>IF(K88="改修",K94-SUM(K126:K132)-K136-K140,0)</f>
        <v>0</v>
      </c>
      <c r="L122" s="2122">
        <f t="shared" si="71"/>
        <v>0</v>
      </c>
      <c r="M122" s="2122">
        <f t="shared" si="71"/>
        <v>0</v>
      </c>
      <c r="N122" s="2123">
        <f t="shared" si="71"/>
        <v>0</v>
      </c>
    </row>
    <row r="123" spans="1:14" ht="13.5" customHeight="1">
      <c r="A123" s="2985"/>
      <c r="B123" s="2988"/>
      <c r="C123" s="2124" t="s">
        <v>2853</v>
      </c>
      <c r="D123" s="2124"/>
      <c r="E123" s="2125"/>
      <c r="F123" s="2085">
        <f t="shared" si="69"/>
        <v>0</v>
      </c>
      <c r="G123" s="2068">
        <f t="shared" ref="G123:N123" si="72">G98</f>
        <v>0</v>
      </c>
      <c r="H123" s="2068">
        <f t="shared" si="72"/>
        <v>0</v>
      </c>
      <c r="I123" s="2068">
        <f t="shared" si="72"/>
        <v>0</v>
      </c>
      <c r="J123" s="2068">
        <f>J98</f>
        <v>0</v>
      </c>
      <c r="K123" s="2068">
        <f>K98</f>
        <v>0</v>
      </c>
      <c r="L123" s="2068">
        <f t="shared" si="72"/>
        <v>0</v>
      </c>
      <c r="M123" s="2068">
        <f t="shared" si="72"/>
        <v>0</v>
      </c>
      <c r="N123" s="2069">
        <f t="shared" si="72"/>
        <v>0</v>
      </c>
    </row>
    <row r="124" spans="1:14" ht="13.5" customHeight="1">
      <c r="A124" s="2985"/>
      <c r="B124" s="2989"/>
      <c r="C124" s="2126" t="s">
        <v>2854</v>
      </c>
      <c r="D124" s="2127"/>
      <c r="E124" s="2066"/>
      <c r="F124" s="2067">
        <f t="shared" si="69"/>
        <v>0</v>
      </c>
      <c r="G124" s="2128">
        <f t="shared" ref="G124:N124" si="73">IF(G$91="積上げ",0,G172)</f>
        <v>0</v>
      </c>
      <c r="H124" s="2128">
        <f t="shared" si="73"/>
        <v>0</v>
      </c>
      <c r="I124" s="2128">
        <f t="shared" si="73"/>
        <v>0</v>
      </c>
      <c r="J124" s="2128">
        <f>IF(J$91="積上げ",0,J172)</f>
        <v>0</v>
      </c>
      <c r="K124" s="2128">
        <f>IF(K$91="積上げ",0,K172)</f>
        <v>0</v>
      </c>
      <c r="L124" s="2128">
        <f t="shared" si="73"/>
        <v>0</v>
      </c>
      <c r="M124" s="2128">
        <f t="shared" si="73"/>
        <v>0</v>
      </c>
      <c r="N124" s="2129">
        <f t="shared" si="73"/>
        <v>0</v>
      </c>
    </row>
    <row r="125" spans="1:14" ht="13.5" customHeight="1">
      <c r="A125" s="2985"/>
      <c r="B125" s="2990" t="s">
        <v>2729</v>
      </c>
      <c r="C125" s="2991" t="s">
        <v>2855</v>
      </c>
      <c r="D125" s="2992"/>
      <c r="E125" s="2993"/>
      <c r="F125" s="2085">
        <f t="shared" si="69"/>
        <v>0</v>
      </c>
      <c r="G125" s="2130">
        <f t="shared" ref="G125:N125" si="74">G97-G98-G137-G138-G139-G141-G142</f>
        <v>0</v>
      </c>
      <c r="H125" s="2130">
        <f t="shared" si="74"/>
        <v>0</v>
      </c>
      <c r="I125" s="2130">
        <f t="shared" si="74"/>
        <v>0</v>
      </c>
      <c r="J125" s="2130">
        <f>J97-J98-J137-J138-J139-J141-J142</f>
        <v>0</v>
      </c>
      <c r="K125" s="2130">
        <f>K97-K98-K137-K138-K139-K141-K142</f>
        <v>0</v>
      </c>
      <c r="L125" s="2130">
        <f t="shared" si="74"/>
        <v>0</v>
      </c>
      <c r="M125" s="2130">
        <f t="shared" si="74"/>
        <v>0</v>
      </c>
      <c r="N125" s="2131">
        <f t="shared" si="74"/>
        <v>0</v>
      </c>
    </row>
    <row r="126" spans="1:14" ht="13.5" customHeight="1">
      <c r="A126" s="2985"/>
      <c r="B126" s="2988"/>
      <c r="C126" s="2127" t="s">
        <v>2856</v>
      </c>
      <c r="D126" s="2127"/>
      <c r="E126" s="2066"/>
      <c r="F126" s="2067">
        <f t="shared" si="69"/>
        <v>0</v>
      </c>
      <c r="G126" s="2132"/>
      <c r="H126" s="2132"/>
      <c r="I126" s="2132"/>
      <c r="J126" s="2132"/>
      <c r="K126" s="2132"/>
      <c r="L126" s="2133"/>
      <c r="M126" s="2133"/>
      <c r="N126" s="2134"/>
    </row>
    <row r="127" spans="1:14" ht="13.5" customHeight="1">
      <c r="A127" s="2985"/>
      <c r="B127" s="2988"/>
      <c r="C127" s="2135" t="s">
        <v>2857</v>
      </c>
      <c r="D127" s="2127"/>
      <c r="E127" s="2066"/>
      <c r="F127" s="2067">
        <f t="shared" si="69"/>
        <v>0</v>
      </c>
      <c r="G127" s="2132"/>
      <c r="H127" s="2132"/>
      <c r="I127" s="2132"/>
      <c r="J127" s="2132"/>
      <c r="K127" s="2132"/>
      <c r="L127" s="2133"/>
      <c r="M127" s="2133"/>
      <c r="N127" s="2134"/>
    </row>
    <row r="128" spans="1:14" ht="13.5" customHeight="1">
      <c r="A128" s="2985"/>
      <c r="B128" s="2988"/>
      <c r="C128" s="2127" t="s">
        <v>2858</v>
      </c>
      <c r="D128" s="2127"/>
      <c r="E128" s="2066"/>
      <c r="F128" s="2067">
        <f t="shared" si="69"/>
        <v>0</v>
      </c>
      <c r="G128" s="2132"/>
      <c r="H128" s="2132"/>
      <c r="I128" s="2132"/>
      <c r="J128" s="2132"/>
      <c r="K128" s="2132"/>
      <c r="L128" s="2133"/>
      <c r="M128" s="2133"/>
      <c r="N128" s="2134"/>
    </row>
    <row r="129" spans="1:16" ht="13.5" customHeight="1">
      <c r="A129" s="2985"/>
      <c r="B129" s="2988"/>
      <c r="C129" s="2127" t="s">
        <v>2859</v>
      </c>
      <c r="D129" s="2127"/>
      <c r="E129" s="2066"/>
      <c r="F129" s="2067">
        <f t="shared" si="69"/>
        <v>0</v>
      </c>
      <c r="G129" s="2132"/>
      <c r="H129" s="2132"/>
      <c r="I129" s="2132"/>
      <c r="J129" s="2132"/>
      <c r="K129" s="2132"/>
      <c r="L129" s="2133"/>
      <c r="M129" s="2133"/>
      <c r="N129" s="2134"/>
    </row>
    <row r="130" spans="1:16" ht="13.5" customHeight="1">
      <c r="A130" s="2985"/>
      <c r="B130" s="2988"/>
      <c r="C130" s="2136" t="s">
        <v>2860</v>
      </c>
      <c r="D130" s="2127"/>
      <c r="E130" s="2066"/>
      <c r="F130" s="2067">
        <f t="shared" si="69"/>
        <v>0</v>
      </c>
      <c r="G130" s="2132"/>
      <c r="H130" s="2132"/>
      <c r="I130" s="2132"/>
      <c r="J130" s="2132"/>
      <c r="K130" s="2132"/>
      <c r="L130" s="2133"/>
      <c r="M130" s="2133"/>
      <c r="N130" s="2134"/>
    </row>
    <row r="131" spans="1:16" ht="13.5" customHeight="1">
      <c r="A131" s="2985"/>
      <c r="B131" s="2988"/>
      <c r="C131" s="2127"/>
      <c r="D131" s="2127"/>
      <c r="E131" s="2066"/>
      <c r="F131" s="2067">
        <f t="shared" si="69"/>
        <v>0</v>
      </c>
      <c r="G131" s="1905"/>
      <c r="H131" s="1905"/>
      <c r="I131" s="1905"/>
      <c r="J131" s="1905"/>
      <c r="K131" s="1905"/>
      <c r="L131" s="2137"/>
      <c r="M131" s="2137"/>
      <c r="N131" s="2138"/>
    </row>
    <row r="132" spans="1:16" ht="13.5" customHeight="1">
      <c r="A132" s="2985"/>
      <c r="B132" s="2989"/>
      <c r="C132" s="2139"/>
      <c r="D132" s="2140"/>
      <c r="E132" s="2141"/>
      <c r="F132" s="2067">
        <f t="shared" si="69"/>
        <v>0</v>
      </c>
      <c r="G132" s="1905"/>
      <c r="H132" s="1905"/>
      <c r="I132" s="1905"/>
      <c r="J132" s="1905"/>
      <c r="K132" s="1905"/>
      <c r="L132" s="2137"/>
      <c r="M132" s="2137"/>
      <c r="N132" s="2138"/>
    </row>
    <row r="133" spans="1:16" ht="13.5" customHeight="1">
      <c r="A133" s="2985"/>
      <c r="B133" s="2990" t="s">
        <v>477</v>
      </c>
      <c r="C133" s="2142" t="s">
        <v>2861</v>
      </c>
      <c r="D133" s="2127"/>
      <c r="E133" s="2066"/>
      <c r="F133" s="2067">
        <f t="shared" si="69"/>
        <v>0</v>
      </c>
      <c r="G133" s="2132"/>
      <c r="H133" s="2132"/>
      <c r="I133" s="2132"/>
      <c r="J133" s="2132"/>
      <c r="K133" s="2132"/>
      <c r="L133" s="2133"/>
      <c r="M133" s="2133"/>
      <c r="N133" s="2134"/>
    </row>
    <row r="134" spans="1:16" ht="13.5" customHeight="1">
      <c r="A134" s="2985"/>
      <c r="B134" s="2988"/>
      <c r="C134" s="2143" t="s">
        <v>2766</v>
      </c>
      <c r="D134" s="2127"/>
      <c r="E134" s="2066"/>
      <c r="F134" s="2067">
        <f t="shared" si="69"/>
        <v>0</v>
      </c>
      <c r="G134" s="2132"/>
      <c r="H134" s="2132"/>
      <c r="I134" s="2132"/>
      <c r="J134" s="2132"/>
      <c r="K134" s="2132"/>
      <c r="L134" s="2133"/>
      <c r="M134" s="2133"/>
      <c r="N134" s="2134"/>
    </row>
    <row r="135" spans="1:16" ht="13.5" customHeight="1">
      <c r="A135" s="2985"/>
      <c r="B135" s="2989"/>
      <c r="C135" s="2143" t="s">
        <v>2862</v>
      </c>
      <c r="D135" s="2127"/>
      <c r="E135" s="2066"/>
      <c r="F135" s="2067">
        <f t="shared" si="69"/>
        <v>0</v>
      </c>
      <c r="G135" s="2132"/>
      <c r="H135" s="2132"/>
      <c r="I135" s="2132"/>
      <c r="J135" s="2132"/>
      <c r="K135" s="2132"/>
      <c r="L135" s="2133"/>
      <c r="M135" s="2133"/>
      <c r="N135" s="2134"/>
    </row>
    <row r="136" spans="1:16" ht="13.5" customHeight="1">
      <c r="A136" s="2985"/>
      <c r="B136" s="3006" t="s">
        <v>2544</v>
      </c>
      <c r="C136" s="2144" t="s">
        <v>2863</v>
      </c>
      <c r="D136" s="2127"/>
      <c r="E136" s="2066"/>
      <c r="F136" s="2067">
        <f t="shared" si="69"/>
        <v>0</v>
      </c>
      <c r="G136" s="2132"/>
      <c r="H136" s="2132"/>
      <c r="I136" s="2132"/>
      <c r="J136" s="2132"/>
      <c r="K136" s="2132"/>
      <c r="L136" s="2133"/>
      <c r="M136" s="2133"/>
      <c r="N136" s="2134"/>
    </row>
    <row r="137" spans="1:16" ht="13.5" customHeight="1">
      <c r="A137" s="2985"/>
      <c r="B137" s="3006"/>
      <c r="C137" s="2145" t="s">
        <v>2864</v>
      </c>
      <c r="D137" s="2127"/>
      <c r="E137" s="2066"/>
      <c r="F137" s="2067">
        <f t="shared" si="69"/>
        <v>0</v>
      </c>
      <c r="G137" s="2146">
        <f t="shared" ref="G137:N137" si="75">G101</f>
        <v>0</v>
      </c>
      <c r="H137" s="2146">
        <f t="shared" si="75"/>
        <v>0</v>
      </c>
      <c r="I137" s="2146">
        <f t="shared" si="75"/>
        <v>0</v>
      </c>
      <c r="J137" s="2146">
        <f>J101</f>
        <v>0</v>
      </c>
      <c r="K137" s="2146">
        <f>K101</f>
        <v>0</v>
      </c>
      <c r="L137" s="2146">
        <f t="shared" si="75"/>
        <v>0</v>
      </c>
      <c r="M137" s="2146">
        <f t="shared" si="75"/>
        <v>0</v>
      </c>
      <c r="N137" s="2147">
        <f t="shared" si="75"/>
        <v>0</v>
      </c>
    </row>
    <row r="138" spans="1:16" ht="13.5" customHeight="1">
      <c r="A138" s="2985"/>
      <c r="B138" s="3006"/>
      <c r="C138" s="2142" t="s">
        <v>2865</v>
      </c>
      <c r="D138" s="2127"/>
      <c r="E138" s="2066"/>
      <c r="F138" s="2067">
        <f t="shared" si="69"/>
        <v>0</v>
      </c>
      <c r="G138" s="2146">
        <f t="shared" ref="G138:N139" si="76">G99</f>
        <v>0</v>
      </c>
      <c r="H138" s="2146">
        <f t="shared" si="76"/>
        <v>0</v>
      </c>
      <c r="I138" s="2146">
        <f t="shared" si="76"/>
        <v>0</v>
      </c>
      <c r="J138" s="2146">
        <f>J99</f>
        <v>0</v>
      </c>
      <c r="K138" s="2146">
        <f>K99</f>
        <v>0</v>
      </c>
      <c r="L138" s="2146">
        <f t="shared" si="76"/>
        <v>0</v>
      </c>
      <c r="M138" s="2146">
        <f t="shared" si="76"/>
        <v>0</v>
      </c>
      <c r="N138" s="2147">
        <f t="shared" si="76"/>
        <v>0</v>
      </c>
    </row>
    <row r="139" spans="1:16" ht="13.5" customHeight="1">
      <c r="A139" s="2985"/>
      <c r="B139" s="3006"/>
      <c r="C139" s="2142" t="s">
        <v>2866</v>
      </c>
      <c r="D139" s="2127"/>
      <c r="E139" s="2066"/>
      <c r="F139" s="2067">
        <f t="shared" si="69"/>
        <v>0</v>
      </c>
      <c r="G139" s="2146">
        <f t="shared" si="76"/>
        <v>0</v>
      </c>
      <c r="H139" s="2146">
        <f t="shared" si="76"/>
        <v>0</v>
      </c>
      <c r="I139" s="2146">
        <f t="shared" si="76"/>
        <v>0</v>
      </c>
      <c r="J139" s="2146">
        <f>J100</f>
        <v>0</v>
      </c>
      <c r="K139" s="2146">
        <f>K100</f>
        <v>0</v>
      </c>
      <c r="L139" s="2146">
        <f t="shared" si="76"/>
        <v>0</v>
      </c>
      <c r="M139" s="2146">
        <f t="shared" si="76"/>
        <v>0</v>
      </c>
      <c r="N139" s="2147">
        <f t="shared" si="76"/>
        <v>0</v>
      </c>
    </row>
    <row r="140" spans="1:16" ht="13.5" customHeight="1">
      <c r="A140" s="2985"/>
      <c r="B140" s="2990"/>
      <c r="C140" s="2148" t="s">
        <v>2867</v>
      </c>
      <c r="D140" s="2148"/>
      <c r="E140" s="2149"/>
      <c r="F140" s="2037">
        <f t="shared" si="69"/>
        <v>0</v>
      </c>
      <c r="G140" s="2150"/>
      <c r="H140" s="2150"/>
      <c r="I140" s="2150"/>
      <c r="J140" s="2150"/>
      <c r="K140" s="2150"/>
      <c r="L140" s="2150"/>
      <c r="M140" s="2150"/>
      <c r="N140" s="2151"/>
    </row>
    <row r="141" spans="1:16" ht="13.5" customHeight="1">
      <c r="A141" s="2985"/>
      <c r="B141" s="2990"/>
      <c r="C141" s="2152" t="s">
        <v>2868</v>
      </c>
      <c r="D141" s="2148"/>
      <c r="E141" s="2149"/>
      <c r="F141" s="2037">
        <f t="shared" si="69"/>
        <v>0</v>
      </c>
      <c r="G141" s="2146">
        <f t="shared" ref="G141:N141" si="77">G103</f>
        <v>0</v>
      </c>
      <c r="H141" s="2146">
        <f t="shared" si="77"/>
        <v>0</v>
      </c>
      <c r="I141" s="2146">
        <f t="shared" si="77"/>
        <v>0</v>
      </c>
      <c r="J141" s="2146">
        <f>J103</f>
        <v>0</v>
      </c>
      <c r="K141" s="2146">
        <f>K103</f>
        <v>0</v>
      </c>
      <c r="L141" s="2146">
        <f t="shared" si="77"/>
        <v>0</v>
      </c>
      <c r="M141" s="2146">
        <f t="shared" si="77"/>
        <v>0</v>
      </c>
      <c r="N141" s="2147">
        <f t="shared" si="77"/>
        <v>0</v>
      </c>
    </row>
    <row r="142" spans="1:16" ht="15" customHeight="1">
      <c r="A142" s="2986"/>
      <c r="B142" s="3007"/>
      <c r="C142" s="2153" t="s">
        <v>2869</v>
      </c>
      <c r="D142" s="2154"/>
      <c r="E142" s="2073"/>
      <c r="F142" s="2155">
        <f t="shared" si="69"/>
        <v>0</v>
      </c>
      <c r="G142" s="2156">
        <f t="shared" ref="G142:N142" si="78">G102</f>
        <v>0</v>
      </c>
      <c r="H142" s="2156">
        <f t="shared" si="78"/>
        <v>0</v>
      </c>
      <c r="I142" s="2156">
        <f t="shared" si="78"/>
        <v>0</v>
      </c>
      <c r="J142" s="2156">
        <f>J102</f>
        <v>0</v>
      </c>
      <c r="K142" s="2156">
        <f>K102</f>
        <v>0</v>
      </c>
      <c r="L142" s="2156">
        <f t="shared" si="78"/>
        <v>0</v>
      </c>
      <c r="M142" s="2156">
        <f t="shared" si="78"/>
        <v>0</v>
      </c>
      <c r="N142" s="2157">
        <f t="shared" si="78"/>
        <v>0</v>
      </c>
    </row>
    <row r="143" spans="1:16" s="2163" customFormat="1" ht="14.25" customHeight="1">
      <c r="A143" s="2158"/>
      <c r="B143" s="2158"/>
      <c r="C143" s="2159" t="s">
        <v>2620</v>
      </c>
      <c r="D143" s="2159"/>
      <c r="E143" s="2160"/>
      <c r="F143" s="2160"/>
      <c r="G143" s="2161"/>
      <c r="H143" s="2161"/>
      <c r="I143" s="2161"/>
      <c r="J143" s="2161"/>
      <c r="K143" s="2161"/>
      <c r="L143" s="2161"/>
      <c r="M143" s="2161"/>
      <c r="N143" s="1711" t="s">
        <v>2870</v>
      </c>
      <c r="O143" s="2161"/>
      <c r="P143" s="2162"/>
    </row>
    <row r="144" spans="1:16" s="2163" customFormat="1" ht="14.25" customHeight="1">
      <c r="A144" s="2158"/>
      <c r="B144" s="2158"/>
      <c r="C144" s="2164" t="s">
        <v>2622</v>
      </c>
      <c r="D144" s="2164"/>
      <c r="E144" s="2160"/>
      <c r="F144" s="2160"/>
      <c r="G144" s="2161"/>
      <c r="H144" s="2161"/>
      <c r="I144" s="2161"/>
      <c r="J144" s="2161"/>
      <c r="K144" s="2161"/>
      <c r="L144" s="2161"/>
      <c r="M144" s="2161"/>
      <c r="N144" s="2165"/>
      <c r="O144" s="2161"/>
      <c r="P144" s="2162"/>
    </row>
    <row r="145" spans="1:16" s="2163" customFormat="1" ht="14.25" customHeight="1">
      <c r="A145" s="2166"/>
      <c r="B145" s="2167"/>
      <c r="C145" s="2167"/>
      <c r="D145" s="3008" t="s">
        <v>2623</v>
      </c>
      <c r="E145" s="3008" t="s">
        <v>2871</v>
      </c>
      <c r="F145" s="2168" t="s">
        <v>2505</v>
      </c>
      <c r="G145" s="2169" t="str">
        <f t="shared" ref="G145:N145" si="79">G89</f>
        <v>工事１</v>
      </c>
      <c r="H145" s="2169">
        <f t="shared" si="79"/>
        <v>0</v>
      </c>
      <c r="I145" s="2169">
        <f t="shared" si="79"/>
        <v>0</v>
      </c>
      <c r="J145" s="2169">
        <f>J89</f>
        <v>0</v>
      </c>
      <c r="K145" s="2169">
        <f>K89</f>
        <v>0</v>
      </c>
      <c r="L145" s="2169">
        <f t="shared" si="79"/>
        <v>0</v>
      </c>
      <c r="M145" s="2169">
        <f t="shared" si="79"/>
        <v>0</v>
      </c>
      <c r="N145" s="2170">
        <f t="shared" si="79"/>
        <v>0</v>
      </c>
      <c r="O145" s="2162"/>
      <c r="P145" s="2162"/>
    </row>
    <row r="146" spans="1:16" s="2163" customFormat="1" ht="14.25" customHeight="1">
      <c r="A146" s="2997" t="s">
        <v>2625</v>
      </c>
      <c r="B146" s="3010"/>
      <c r="C146" s="3010"/>
      <c r="D146" s="3009"/>
      <c r="E146" s="3009"/>
      <c r="F146" s="2171"/>
      <c r="G146" s="2172"/>
      <c r="H146" s="2172"/>
      <c r="I146" s="2172"/>
      <c r="J146" s="2172"/>
      <c r="K146" s="2172"/>
      <c r="L146" s="2172"/>
      <c r="M146" s="2172"/>
      <c r="N146" s="2173"/>
      <c r="O146" s="2174"/>
      <c r="P146" s="2174"/>
    </row>
    <row r="147" spans="1:16" s="2163" customFormat="1" ht="14.25" customHeight="1">
      <c r="A147" s="2998"/>
      <c r="B147" s="2175" t="s">
        <v>2872</v>
      </c>
      <c r="C147" s="2176"/>
      <c r="D147" s="2176"/>
      <c r="E147" s="2177"/>
      <c r="F147" s="2178">
        <f>SUM(G147:N147)</f>
        <v>0</v>
      </c>
      <c r="G147" s="2179">
        <f t="shared" ref="G147:N147" si="80">SUM(G148:G154)+G138</f>
        <v>0</v>
      </c>
      <c r="H147" s="2179">
        <f t="shared" si="80"/>
        <v>0</v>
      </c>
      <c r="I147" s="2179">
        <f t="shared" si="80"/>
        <v>0</v>
      </c>
      <c r="J147" s="2179">
        <f>SUM(J148:J154)+J138</f>
        <v>0</v>
      </c>
      <c r="K147" s="2179">
        <f>SUM(K148:K154)+K138</f>
        <v>0</v>
      </c>
      <c r="L147" s="2179">
        <f t="shared" si="80"/>
        <v>0</v>
      </c>
      <c r="M147" s="2179">
        <f t="shared" si="80"/>
        <v>0</v>
      </c>
      <c r="N147" s="2180">
        <f t="shared" si="80"/>
        <v>0</v>
      </c>
      <c r="O147" s="2181"/>
      <c r="P147" s="2181"/>
    </row>
    <row r="148" spans="1:16" s="2163" customFormat="1" ht="14.25" customHeight="1">
      <c r="A148" s="2999"/>
      <c r="B148" s="3005" t="s">
        <v>2728</v>
      </c>
      <c r="C148" s="2182" t="s">
        <v>2530</v>
      </c>
      <c r="D148" s="2183">
        <v>1</v>
      </c>
      <c r="E148" s="2184" t="s">
        <v>2873</v>
      </c>
      <c r="F148" s="2185">
        <f>SUM(G148:N148)</f>
        <v>0</v>
      </c>
      <c r="G148" s="2186">
        <f t="shared" ref="G148:N149" si="81">IF(G$91="積上げ",0,G121)</f>
        <v>0</v>
      </c>
      <c r="H148" s="2186">
        <f t="shared" si="81"/>
        <v>0</v>
      </c>
      <c r="I148" s="2186">
        <f t="shared" si="81"/>
        <v>0</v>
      </c>
      <c r="J148" s="2186">
        <f>IF(J$91="積上げ",0,J121)</f>
        <v>0</v>
      </c>
      <c r="K148" s="2186">
        <f>IF(K$91="積上げ",0,K121)</f>
        <v>0</v>
      </c>
      <c r="L148" s="2186">
        <f t="shared" si="81"/>
        <v>0</v>
      </c>
      <c r="M148" s="2186">
        <f t="shared" si="81"/>
        <v>0</v>
      </c>
      <c r="N148" s="2187">
        <f t="shared" si="81"/>
        <v>0</v>
      </c>
      <c r="O148" s="2174"/>
      <c r="P148" s="2174"/>
    </row>
    <row r="149" spans="1:16" s="2163" customFormat="1" ht="14.25" customHeight="1">
      <c r="A149" s="2999"/>
      <c r="B149" s="3005"/>
      <c r="C149" s="2182" t="s">
        <v>2531</v>
      </c>
      <c r="D149" s="2183">
        <v>1</v>
      </c>
      <c r="E149" s="2184" t="s">
        <v>2874</v>
      </c>
      <c r="F149" s="2185">
        <f>SUM(G149:N149)</f>
        <v>0</v>
      </c>
      <c r="G149" s="2186">
        <f t="shared" si="81"/>
        <v>0</v>
      </c>
      <c r="H149" s="2186">
        <f t="shared" si="81"/>
        <v>0</v>
      </c>
      <c r="I149" s="2186">
        <f t="shared" si="81"/>
        <v>0</v>
      </c>
      <c r="J149" s="2186">
        <f>IF(J$91="積上げ",0,J122)</f>
        <v>0</v>
      </c>
      <c r="K149" s="2186">
        <f>IF(K$91="積上げ",0,K122)</f>
        <v>0</v>
      </c>
      <c r="L149" s="2186">
        <f t="shared" si="81"/>
        <v>0</v>
      </c>
      <c r="M149" s="2186">
        <f t="shared" si="81"/>
        <v>0</v>
      </c>
      <c r="N149" s="2187">
        <f t="shared" si="81"/>
        <v>0</v>
      </c>
      <c r="O149" s="2174"/>
      <c r="P149" s="2174"/>
    </row>
    <row r="150" spans="1:16" s="2163" customFormat="1" ht="14.25" customHeight="1">
      <c r="A150" s="2999"/>
      <c r="B150" s="3004" t="s">
        <v>2729</v>
      </c>
      <c r="C150" s="2127" t="s">
        <v>2875</v>
      </c>
      <c r="D150" s="2183">
        <v>1</v>
      </c>
      <c r="E150" s="2188">
        <v>0.2</v>
      </c>
      <c r="F150" s="2186">
        <f>INT(F126/(1+$E150))</f>
        <v>0</v>
      </c>
      <c r="G150" s="2186">
        <f t="shared" ref="G150:N154" si="82">IF(G$91="積上げ",0,G184)</f>
        <v>0</v>
      </c>
      <c r="H150" s="2186">
        <f t="shared" si="82"/>
        <v>0</v>
      </c>
      <c r="I150" s="2186">
        <f t="shared" si="82"/>
        <v>0</v>
      </c>
      <c r="J150" s="2186">
        <f t="shared" si="82"/>
        <v>0</v>
      </c>
      <c r="K150" s="2186">
        <f t="shared" si="82"/>
        <v>0</v>
      </c>
      <c r="L150" s="2186">
        <f t="shared" si="82"/>
        <v>0</v>
      </c>
      <c r="M150" s="2186">
        <f t="shared" si="82"/>
        <v>0</v>
      </c>
      <c r="N150" s="2187">
        <f t="shared" si="82"/>
        <v>0</v>
      </c>
      <c r="O150" s="2174"/>
      <c r="P150" s="2174"/>
    </row>
    <row r="151" spans="1:16" s="2163" customFormat="1" ht="14.25" customHeight="1">
      <c r="A151" s="2999"/>
      <c r="B151" s="3002"/>
      <c r="C151" s="2135" t="s">
        <v>2876</v>
      </c>
      <c r="D151" s="2183">
        <v>1</v>
      </c>
      <c r="E151" s="2189">
        <v>0.25</v>
      </c>
      <c r="F151" s="2186">
        <f>INT(F127/(1+$E151))</f>
        <v>0</v>
      </c>
      <c r="G151" s="2186">
        <f t="shared" si="82"/>
        <v>0</v>
      </c>
      <c r="H151" s="2186">
        <f t="shared" si="82"/>
        <v>0</v>
      </c>
      <c r="I151" s="2186">
        <f t="shared" si="82"/>
        <v>0</v>
      </c>
      <c r="J151" s="2186">
        <f t="shared" si="82"/>
        <v>0</v>
      </c>
      <c r="K151" s="2186">
        <f t="shared" si="82"/>
        <v>0</v>
      </c>
      <c r="L151" s="2186">
        <f t="shared" si="82"/>
        <v>0</v>
      </c>
      <c r="M151" s="2186">
        <f t="shared" si="82"/>
        <v>0</v>
      </c>
      <c r="N151" s="2187">
        <f t="shared" si="82"/>
        <v>0</v>
      </c>
      <c r="O151" s="2174"/>
      <c r="P151" s="2174"/>
    </row>
    <row r="152" spans="1:16" s="2163" customFormat="1" ht="14.25" customHeight="1">
      <c r="A152" s="2999"/>
      <c r="B152" s="3002"/>
      <c r="C152" s="2127" t="s">
        <v>2877</v>
      </c>
      <c r="D152" s="2183">
        <v>1</v>
      </c>
      <c r="E152" s="2188">
        <v>0.2</v>
      </c>
      <c r="F152" s="2186">
        <f>INT(F128/(1+$E152))</f>
        <v>0</v>
      </c>
      <c r="G152" s="2186">
        <f t="shared" si="82"/>
        <v>0</v>
      </c>
      <c r="H152" s="2186">
        <f t="shared" si="82"/>
        <v>0</v>
      </c>
      <c r="I152" s="2186">
        <f t="shared" si="82"/>
        <v>0</v>
      </c>
      <c r="J152" s="2186">
        <f t="shared" si="82"/>
        <v>0</v>
      </c>
      <c r="K152" s="2186">
        <f t="shared" si="82"/>
        <v>0</v>
      </c>
      <c r="L152" s="2186">
        <f t="shared" si="82"/>
        <v>0</v>
      </c>
      <c r="M152" s="2186">
        <f t="shared" si="82"/>
        <v>0</v>
      </c>
      <c r="N152" s="2187">
        <f t="shared" si="82"/>
        <v>0</v>
      </c>
      <c r="O152" s="2174"/>
      <c r="P152" s="2174"/>
    </row>
    <row r="153" spans="1:16" s="2163" customFormat="1" ht="14.25" customHeight="1">
      <c r="A153" s="2999"/>
      <c r="B153" s="3002"/>
      <c r="C153" s="2127" t="s">
        <v>2878</v>
      </c>
      <c r="D153" s="2183">
        <v>1</v>
      </c>
      <c r="E153" s="2188">
        <v>0.2</v>
      </c>
      <c r="F153" s="2186">
        <f>INT(F129/(1+$E153))</f>
        <v>0</v>
      </c>
      <c r="G153" s="2186">
        <f t="shared" si="82"/>
        <v>0</v>
      </c>
      <c r="H153" s="2186">
        <f t="shared" si="82"/>
        <v>0</v>
      </c>
      <c r="I153" s="2186">
        <f t="shared" si="82"/>
        <v>0</v>
      </c>
      <c r="J153" s="2186">
        <f t="shared" si="82"/>
        <v>0</v>
      </c>
      <c r="K153" s="2186">
        <f t="shared" si="82"/>
        <v>0</v>
      </c>
      <c r="L153" s="2186">
        <f t="shared" si="82"/>
        <v>0</v>
      </c>
      <c r="M153" s="2186">
        <f t="shared" si="82"/>
        <v>0</v>
      </c>
      <c r="N153" s="2187">
        <f t="shared" si="82"/>
        <v>0</v>
      </c>
      <c r="O153" s="2174"/>
      <c r="P153" s="2174"/>
    </row>
    <row r="154" spans="1:16" s="2163" customFormat="1" ht="14.25" customHeight="1">
      <c r="A154" s="2999"/>
      <c r="B154" s="3012"/>
      <c r="C154" s="2136" t="s">
        <v>2879</v>
      </c>
      <c r="D154" s="2190">
        <v>1</v>
      </c>
      <c r="E154" s="2188">
        <v>0.2</v>
      </c>
      <c r="F154" s="2186">
        <f>INT(F130/(1+$E154))</f>
        <v>0</v>
      </c>
      <c r="G154" s="2186">
        <f t="shared" si="82"/>
        <v>0</v>
      </c>
      <c r="H154" s="2186">
        <f t="shared" si="82"/>
        <v>0</v>
      </c>
      <c r="I154" s="2186">
        <f t="shared" si="82"/>
        <v>0</v>
      </c>
      <c r="J154" s="2186">
        <f t="shared" si="82"/>
        <v>0</v>
      </c>
      <c r="K154" s="2186">
        <f t="shared" si="82"/>
        <v>0</v>
      </c>
      <c r="L154" s="2186">
        <f t="shared" si="82"/>
        <v>0</v>
      </c>
      <c r="M154" s="2186">
        <f t="shared" si="82"/>
        <v>0</v>
      </c>
      <c r="N154" s="2187">
        <f t="shared" si="82"/>
        <v>0</v>
      </c>
      <c r="O154" s="2174"/>
      <c r="P154" s="2174"/>
    </row>
    <row r="155" spans="1:16" s="2163" customFormat="1" ht="14.25" customHeight="1">
      <c r="A155" s="2999"/>
      <c r="B155" s="3005"/>
      <c r="C155" s="2191" t="s">
        <v>2880</v>
      </c>
      <c r="D155" s="2183">
        <v>1</v>
      </c>
      <c r="E155" s="2192"/>
      <c r="F155" s="2186"/>
      <c r="G155" s="2186"/>
      <c r="H155" s="2186"/>
      <c r="I155" s="2193"/>
      <c r="J155" s="2193"/>
      <c r="K155" s="2193"/>
      <c r="L155" s="2193"/>
      <c r="M155" s="2193"/>
      <c r="N155" s="2194"/>
      <c r="O155" s="2174"/>
      <c r="P155" s="2174"/>
    </row>
    <row r="156" spans="1:16" s="2163" customFormat="1" ht="14.25" customHeight="1">
      <c r="A156" s="2999"/>
      <c r="B156" s="3005"/>
      <c r="C156" s="2191" t="s">
        <v>2881</v>
      </c>
      <c r="D156" s="2183">
        <v>1</v>
      </c>
      <c r="E156" s="2192"/>
      <c r="F156" s="2186"/>
      <c r="G156" s="2186"/>
      <c r="H156" s="2186"/>
      <c r="I156" s="2193"/>
      <c r="J156" s="2193"/>
      <c r="K156" s="2193"/>
      <c r="L156" s="2193"/>
      <c r="M156" s="2193"/>
      <c r="N156" s="2194"/>
      <c r="O156" s="2174"/>
      <c r="P156" s="2174"/>
    </row>
    <row r="157" spans="1:16" s="2163" customFormat="1" ht="14.25" customHeight="1">
      <c r="A157" s="3011"/>
      <c r="B157" s="2195" t="s">
        <v>2632</v>
      </c>
      <c r="C157" s="2196" t="s">
        <v>2882</v>
      </c>
      <c r="D157" s="2197">
        <v>1</v>
      </c>
      <c r="E157" s="2198">
        <v>0</v>
      </c>
      <c r="F157" s="2199">
        <f>SUM(G157:N157)</f>
        <v>0</v>
      </c>
      <c r="G157" s="2200">
        <f t="shared" ref="G157:N157" si="83">IF(G91="積上げ",0,SUM(G136:G138)+G140)</f>
        <v>0</v>
      </c>
      <c r="H157" s="2200">
        <f t="shared" si="83"/>
        <v>0</v>
      </c>
      <c r="I157" s="2200">
        <f t="shared" si="83"/>
        <v>0</v>
      </c>
      <c r="J157" s="2200">
        <f>IF(J91="積上げ",0,SUM(J136:J138)+J140)</f>
        <v>0</v>
      </c>
      <c r="K157" s="2200">
        <f>IF(K91="積上げ",0,SUM(K136:K138)+K140)</f>
        <v>0</v>
      </c>
      <c r="L157" s="2200">
        <f t="shared" si="83"/>
        <v>0</v>
      </c>
      <c r="M157" s="2200">
        <f t="shared" si="83"/>
        <v>0</v>
      </c>
      <c r="N157" s="2201">
        <f t="shared" si="83"/>
        <v>0</v>
      </c>
      <c r="O157" s="2174"/>
      <c r="P157" s="2174"/>
    </row>
    <row r="158" spans="1:16" s="2163" customFormat="1" ht="14.25" customHeight="1">
      <c r="A158" s="2202"/>
      <c r="B158" s="2203"/>
      <c r="C158" s="2204"/>
      <c r="D158" s="2994"/>
      <c r="E158" s="2994"/>
      <c r="F158" s="2205"/>
      <c r="G158" s="2206"/>
      <c r="H158" s="2206"/>
      <c r="I158" s="2206"/>
      <c r="J158" s="2206"/>
      <c r="K158" s="2206"/>
      <c r="L158" s="2206"/>
      <c r="M158" s="2206"/>
      <c r="N158" s="2207"/>
      <c r="O158" s="2174"/>
      <c r="P158" s="2174"/>
    </row>
    <row r="159" spans="1:16" s="2163" customFormat="1" ht="14.25" customHeight="1">
      <c r="A159" s="2996" t="s">
        <v>2634</v>
      </c>
      <c r="B159" s="2996"/>
      <c r="C159" s="2997"/>
      <c r="D159" s="2995"/>
      <c r="E159" s="2995"/>
      <c r="F159" s="2171"/>
      <c r="G159" s="2172"/>
      <c r="H159" s="2172"/>
      <c r="I159" s="2172"/>
      <c r="J159" s="2172"/>
      <c r="K159" s="2172"/>
      <c r="L159" s="2172"/>
      <c r="M159" s="2172"/>
      <c r="N159" s="2173"/>
      <c r="O159" s="2174"/>
      <c r="P159" s="2174"/>
    </row>
    <row r="160" spans="1:16" s="2163" customFormat="1" ht="14.25" customHeight="1">
      <c r="A160" s="2998"/>
      <c r="B160" s="3001" t="s">
        <v>2728</v>
      </c>
      <c r="C160" s="2208" t="s">
        <v>2530</v>
      </c>
      <c r="D160" s="2209"/>
      <c r="E160" s="2210" t="s">
        <v>2790</v>
      </c>
      <c r="F160" s="2211" t="s">
        <v>2789</v>
      </c>
      <c r="G160" s="2212">
        <f t="shared" ref="G160:N160" si="84">IF(G88="新営",IF(G93="有り",+G264/100,G265/100),0)</f>
        <v>0</v>
      </c>
      <c r="H160" s="2212">
        <f t="shared" si="84"/>
        <v>0</v>
      </c>
      <c r="I160" s="2212">
        <f t="shared" si="84"/>
        <v>0</v>
      </c>
      <c r="J160" s="2212">
        <f>IF(J88="新営",IF(J93="有り",+J264/100,J265/100),0)</f>
        <v>0</v>
      </c>
      <c r="K160" s="2212">
        <f>IF(K88="新営",IF(K93="有り",+K264/100,K265/100),0)</f>
        <v>0</v>
      </c>
      <c r="L160" s="2212">
        <f t="shared" si="84"/>
        <v>0</v>
      </c>
      <c r="M160" s="2212">
        <f t="shared" si="84"/>
        <v>0</v>
      </c>
      <c r="N160" s="2213">
        <f t="shared" si="84"/>
        <v>0</v>
      </c>
      <c r="O160" s="2214"/>
      <c r="P160" s="2214"/>
    </row>
    <row r="161" spans="1:16" s="2163" customFormat="1" ht="14.25" customHeight="1">
      <c r="A161" s="2999"/>
      <c r="B161" s="3002"/>
      <c r="C161" s="2215"/>
      <c r="D161" s="2216">
        <f>+D148</f>
        <v>1</v>
      </c>
      <c r="E161" s="2217" t="s">
        <v>2883</v>
      </c>
      <c r="F161" s="2218">
        <f>SUM(G161:N161)</f>
        <v>0</v>
      </c>
      <c r="G161" s="2219">
        <f t="shared" ref="G161:N161" si="85">ROUNDDOWN(G148*G160*$D161,0)</f>
        <v>0</v>
      </c>
      <c r="H161" s="2219">
        <f t="shared" si="85"/>
        <v>0</v>
      </c>
      <c r="I161" s="2219">
        <f t="shared" si="85"/>
        <v>0</v>
      </c>
      <c r="J161" s="2219">
        <f>ROUNDDOWN(J148*J160*$D161,0)</f>
        <v>0</v>
      </c>
      <c r="K161" s="2219">
        <f>ROUNDDOWN(K148*K160*$D161,0)</f>
        <v>0</v>
      </c>
      <c r="L161" s="2219">
        <f t="shared" si="85"/>
        <v>0</v>
      </c>
      <c r="M161" s="2219">
        <f t="shared" si="85"/>
        <v>0</v>
      </c>
      <c r="N161" s="2194">
        <f t="shared" si="85"/>
        <v>0</v>
      </c>
      <c r="O161" s="2174"/>
      <c r="P161" s="2174"/>
    </row>
    <row r="162" spans="1:16" s="2163" customFormat="1" ht="14.25" customHeight="1">
      <c r="A162" s="2999"/>
      <c r="B162" s="3002"/>
      <c r="C162" s="2220" t="s">
        <v>2531</v>
      </c>
      <c r="D162" s="2221"/>
      <c r="E162" s="2217" t="s">
        <v>2790</v>
      </c>
      <c r="F162" s="2222" t="s">
        <v>2789</v>
      </c>
      <c r="G162" s="2223">
        <f t="shared" ref="G162:N162" si="86">IF(G88="改修",IF(G93="有り",+G273/100,G274/100),0)</f>
        <v>2.5099999999999997E-2</v>
      </c>
      <c r="H162" s="2223">
        <f t="shared" si="86"/>
        <v>0</v>
      </c>
      <c r="I162" s="2223">
        <f t="shared" si="86"/>
        <v>0</v>
      </c>
      <c r="J162" s="2223">
        <f>IF(J88="改修",IF(J93="有り",+J273/100,J274/100),0)</f>
        <v>0</v>
      </c>
      <c r="K162" s="2223">
        <f>IF(K88="改修",IF(K93="有り",+K273/100,K274/100),0)</f>
        <v>0</v>
      </c>
      <c r="L162" s="2223">
        <f t="shared" si="86"/>
        <v>0</v>
      </c>
      <c r="M162" s="2223">
        <f t="shared" si="86"/>
        <v>0</v>
      </c>
      <c r="N162" s="2224">
        <f t="shared" si="86"/>
        <v>0</v>
      </c>
      <c r="O162" s="2214"/>
      <c r="P162" s="2214"/>
    </row>
    <row r="163" spans="1:16" s="2163" customFormat="1" ht="14.25" customHeight="1">
      <c r="A163" s="2999"/>
      <c r="B163" s="3003"/>
      <c r="C163" s="2215"/>
      <c r="D163" s="2216">
        <f>+D149</f>
        <v>1</v>
      </c>
      <c r="E163" s="2217" t="s">
        <v>2883</v>
      </c>
      <c r="F163" s="2218">
        <f t="shared" ref="F163:F172" si="87">SUM(G163:N163)</f>
        <v>0</v>
      </c>
      <c r="G163" s="2219">
        <f t="shared" ref="G163:N163" si="88">ROUNDDOWN(G149*G162*$D163,0)</f>
        <v>0</v>
      </c>
      <c r="H163" s="2219">
        <f t="shared" si="88"/>
        <v>0</v>
      </c>
      <c r="I163" s="2219">
        <f t="shared" si="88"/>
        <v>0</v>
      </c>
      <c r="J163" s="2219">
        <f>ROUNDDOWN(J149*J162*$D163,0)</f>
        <v>0</v>
      </c>
      <c r="K163" s="2219">
        <f>ROUNDDOWN(K149*K162*$D163,0)</f>
        <v>0</v>
      </c>
      <c r="L163" s="2219">
        <f t="shared" si="88"/>
        <v>0</v>
      </c>
      <c r="M163" s="2219">
        <f t="shared" si="88"/>
        <v>0</v>
      </c>
      <c r="N163" s="2225">
        <f t="shared" si="88"/>
        <v>0</v>
      </c>
      <c r="O163" s="2174"/>
      <c r="P163" s="2174"/>
    </row>
    <row r="164" spans="1:16" s="2163" customFormat="1" ht="14.25" customHeight="1">
      <c r="A164" s="2999"/>
      <c r="B164" s="3004" t="s">
        <v>2729</v>
      </c>
      <c r="C164" s="2127" t="s">
        <v>2875</v>
      </c>
      <c r="D164" s="2216">
        <v>1</v>
      </c>
      <c r="E164" s="2226"/>
      <c r="F164" s="2218">
        <f t="shared" si="87"/>
        <v>0</v>
      </c>
      <c r="G164" s="2219">
        <f t="shared" ref="G164:N164" si="89">IF(G$88="改修",ROUNDDOWN(G150*G$162*$D164,0),ROUNDDOWN(G150*G$160*$D164,0))</f>
        <v>0</v>
      </c>
      <c r="H164" s="2219">
        <f t="shared" si="89"/>
        <v>0</v>
      </c>
      <c r="I164" s="2219">
        <f t="shared" si="89"/>
        <v>0</v>
      </c>
      <c r="J164" s="2219">
        <f>IF(J$88="改修",ROUNDDOWN(J150*J$162*$D164,0),ROUNDDOWN(J150*J$160*$D164,0))</f>
        <v>0</v>
      </c>
      <c r="K164" s="2219">
        <f>IF(K$88="改修",ROUNDDOWN(K150*K$162*$D164,0),ROUNDDOWN(K150*K$160*$D164,0))</f>
        <v>0</v>
      </c>
      <c r="L164" s="2219">
        <f t="shared" si="89"/>
        <v>0</v>
      </c>
      <c r="M164" s="2219">
        <f t="shared" si="89"/>
        <v>0</v>
      </c>
      <c r="N164" s="2225">
        <f t="shared" si="89"/>
        <v>0</v>
      </c>
      <c r="O164" s="2174"/>
      <c r="P164" s="2174"/>
    </row>
    <row r="165" spans="1:16" s="2163" customFormat="1" ht="14.25" customHeight="1">
      <c r="A165" s="2999"/>
      <c r="B165" s="3002"/>
      <c r="C165" s="2135" t="s">
        <v>2876</v>
      </c>
      <c r="D165" s="2216">
        <v>1</v>
      </c>
      <c r="E165" s="2217"/>
      <c r="F165" s="2218">
        <f t="shared" si="87"/>
        <v>0</v>
      </c>
      <c r="G165" s="2219">
        <f t="shared" ref="G165:N165" si="90">IF(G$88="改修",ROUNDDOWN(G151*G$162*$D165,0),IF(G88="新営",ROUNDDOWN(G151*G$160*$D165,0),0))</f>
        <v>0</v>
      </c>
      <c r="H165" s="2219">
        <f t="shared" si="90"/>
        <v>0</v>
      </c>
      <c r="I165" s="2219">
        <f t="shared" si="90"/>
        <v>0</v>
      </c>
      <c r="J165" s="2219">
        <f>IF(J$88="改修",ROUNDDOWN(J151*J$162*$D165,0),IF(J88="新営",ROUNDDOWN(J151*J$160*$D165,0),0))</f>
        <v>0</v>
      </c>
      <c r="K165" s="2219">
        <f>IF(K$88="改修",ROUNDDOWN(K151*K$162*$D165,0),IF(K88="新営",ROUNDDOWN(K151*K$160*$D165,0),0))</f>
        <v>0</v>
      </c>
      <c r="L165" s="2219">
        <f t="shared" si="90"/>
        <v>0</v>
      </c>
      <c r="M165" s="2219">
        <f t="shared" si="90"/>
        <v>0</v>
      </c>
      <c r="N165" s="2225">
        <f t="shared" si="90"/>
        <v>0</v>
      </c>
      <c r="O165" s="2174"/>
      <c r="P165" s="2174"/>
    </row>
    <row r="166" spans="1:16" s="2163" customFormat="1" ht="14.25" customHeight="1">
      <c r="A166" s="2999"/>
      <c r="B166" s="3002"/>
      <c r="C166" s="2127" t="s">
        <v>2884</v>
      </c>
      <c r="D166" s="2216">
        <v>1</v>
      </c>
      <c r="E166" s="2217"/>
      <c r="F166" s="2218">
        <f t="shared" si="87"/>
        <v>0</v>
      </c>
      <c r="G166" s="2219">
        <f t="shared" ref="G166:N166" si="91">IF(G$88="改修",ROUNDDOWN(G152*G$162*$D166,0),IF(G88="新営",ROUNDDOWN(G152*G$160*$D166,0),0))</f>
        <v>0</v>
      </c>
      <c r="H166" s="2219">
        <f t="shared" si="91"/>
        <v>0</v>
      </c>
      <c r="I166" s="2219">
        <f t="shared" si="91"/>
        <v>0</v>
      </c>
      <c r="J166" s="2219">
        <f>IF(J$88="改修",ROUNDDOWN(J152*J$162*$D166,0),IF(J88="新営",ROUNDDOWN(J152*J$160*$D166,0),0))</f>
        <v>0</v>
      </c>
      <c r="K166" s="2219">
        <f>IF(K$88="改修",ROUNDDOWN(K152*K$162*$D166,0),IF(K88="新営",ROUNDDOWN(K152*K$160*$D166,0),0))</f>
        <v>0</v>
      </c>
      <c r="L166" s="2219">
        <f t="shared" si="91"/>
        <v>0</v>
      </c>
      <c r="M166" s="2219">
        <f t="shared" si="91"/>
        <v>0</v>
      </c>
      <c r="N166" s="2225">
        <f t="shared" si="91"/>
        <v>0</v>
      </c>
      <c r="O166" s="2174"/>
      <c r="P166" s="2174"/>
    </row>
    <row r="167" spans="1:16" s="2163" customFormat="1" ht="14.25" customHeight="1">
      <c r="A167" s="2999"/>
      <c r="B167" s="3002"/>
      <c r="C167" s="2127" t="s">
        <v>2885</v>
      </c>
      <c r="D167" s="2216">
        <v>1</v>
      </c>
      <c r="E167" s="2217"/>
      <c r="F167" s="2218">
        <f t="shared" si="87"/>
        <v>0</v>
      </c>
      <c r="G167" s="2219">
        <f t="shared" ref="G167:N168" si="92">IF(G$88="改修",ROUNDDOWN(G153*G$162*$D167,0),IF(G88="新営",ROUNDDOWN(G153*G$160*$D167,0),0))</f>
        <v>0</v>
      </c>
      <c r="H167" s="2219">
        <f t="shared" si="92"/>
        <v>0</v>
      </c>
      <c r="I167" s="2219">
        <f t="shared" si="92"/>
        <v>0</v>
      </c>
      <c r="J167" s="2219">
        <f>IF(J$88="改修",ROUNDDOWN(J153*J$162*$D167,0),IF(J88="新営",ROUNDDOWN(J153*J$160*$D167,0),0))</f>
        <v>0</v>
      </c>
      <c r="K167" s="2219">
        <f>IF(K$88="改修",ROUNDDOWN(K153*K$162*$D167,0),IF(K88="新営",ROUNDDOWN(K153*K$160*$D167,0),0))</f>
        <v>0</v>
      </c>
      <c r="L167" s="2219">
        <f t="shared" si="92"/>
        <v>0</v>
      </c>
      <c r="M167" s="2219">
        <f t="shared" si="92"/>
        <v>0</v>
      </c>
      <c r="N167" s="2225">
        <f t="shared" si="92"/>
        <v>0</v>
      </c>
      <c r="O167" s="2174"/>
      <c r="P167" s="2174"/>
    </row>
    <row r="168" spans="1:16" s="2163" customFormat="1" ht="14.25" customHeight="1">
      <c r="A168" s="2999"/>
      <c r="B168" s="2227"/>
      <c r="C168" s="2136" t="s">
        <v>2879</v>
      </c>
      <c r="D168" s="2190">
        <v>1</v>
      </c>
      <c r="E168" s="2217"/>
      <c r="F168" s="2185">
        <f t="shared" si="87"/>
        <v>0</v>
      </c>
      <c r="G168" s="2228">
        <f t="shared" si="92"/>
        <v>0</v>
      </c>
      <c r="H168" s="2228">
        <f t="shared" si="92"/>
        <v>0</v>
      </c>
      <c r="I168" s="2228">
        <f t="shared" si="92"/>
        <v>0</v>
      </c>
      <c r="J168" s="2228">
        <f>IF(J$88="改修",ROUNDDOWN(J154*J$162*$D168,0),IF(J89="新営",ROUNDDOWN(J154*J$160*$D168,0),0))</f>
        <v>0</v>
      </c>
      <c r="K168" s="2228">
        <f>IF(K$88="改修",ROUNDDOWN(K154*K$162*$D168,0),IF(K89="新営",ROUNDDOWN(K154*K$160*$D168,0),0))</f>
        <v>0</v>
      </c>
      <c r="L168" s="2228">
        <f t="shared" si="92"/>
        <v>0</v>
      </c>
      <c r="M168" s="2228">
        <f t="shared" si="92"/>
        <v>0</v>
      </c>
      <c r="N168" s="2229">
        <f t="shared" si="92"/>
        <v>0</v>
      </c>
      <c r="O168" s="2174"/>
      <c r="P168" s="2174"/>
    </row>
    <row r="169" spans="1:16" s="2163" customFormat="1" ht="14.25" customHeight="1">
      <c r="A169" s="2999"/>
      <c r="B169" s="3005"/>
      <c r="C169" s="2191" t="s">
        <v>2880</v>
      </c>
      <c r="D169" s="2230">
        <f t="shared" ref="D169:E171" si="93">+D155</f>
        <v>1</v>
      </c>
      <c r="E169" s="2192">
        <f t="shared" si="93"/>
        <v>0</v>
      </c>
      <c r="F169" s="2218">
        <f t="shared" si="87"/>
        <v>0</v>
      </c>
      <c r="G169" s="2219">
        <f>ROUNDDOWN(G155*$E169*$D169,0)</f>
        <v>0</v>
      </c>
      <c r="H169" s="2219">
        <f t="shared" ref="H169:N171" si="94">ROUNDDOWN(H155*$E169*$D169,0)</f>
        <v>0</v>
      </c>
      <c r="I169" s="2219">
        <f t="shared" si="94"/>
        <v>0</v>
      </c>
      <c r="J169" s="2219">
        <f t="shared" si="94"/>
        <v>0</v>
      </c>
      <c r="K169" s="2219">
        <f t="shared" si="94"/>
        <v>0</v>
      </c>
      <c r="L169" s="2219">
        <f t="shared" si="94"/>
        <v>0</v>
      </c>
      <c r="M169" s="2219">
        <f t="shared" si="94"/>
        <v>0</v>
      </c>
      <c r="N169" s="2225">
        <f t="shared" si="94"/>
        <v>0</v>
      </c>
      <c r="O169" s="2174"/>
      <c r="P169" s="2174"/>
    </row>
    <row r="170" spans="1:16" s="2163" customFormat="1" ht="14.25" customHeight="1">
      <c r="A170" s="2999"/>
      <c r="B170" s="3005"/>
      <c r="C170" s="2191" t="s">
        <v>2881</v>
      </c>
      <c r="D170" s="2230">
        <f t="shared" si="93"/>
        <v>1</v>
      </c>
      <c r="E170" s="2192">
        <f t="shared" si="93"/>
        <v>0</v>
      </c>
      <c r="F170" s="2218">
        <f t="shared" si="87"/>
        <v>0</v>
      </c>
      <c r="G170" s="2219">
        <f>ROUNDDOWN(G156*$E170*$D170,0)</f>
        <v>0</v>
      </c>
      <c r="H170" s="2219">
        <f t="shared" si="94"/>
        <v>0</v>
      </c>
      <c r="I170" s="2219">
        <f t="shared" si="94"/>
        <v>0</v>
      </c>
      <c r="J170" s="2219">
        <f t="shared" si="94"/>
        <v>0</v>
      </c>
      <c r="K170" s="2219">
        <f t="shared" si="94"/>
        <v>0</v>
      </c>
      <c r="L170" s="2219">
        <f t="shared" si="94"/>
        <v>0</v>
      </c>
      <c r="M170" s="2219">
        <f t="shared" si="94"/>
        <v>0</v>
      </c>
      <c r="N170" s="2225">
        <f t="shared" si="94"/>
        <v>0</v>
      </c>
      <c r="O170" s="2174"/>
      <c r="P170" s="2174"/>
    </row>
    <row r="171" spans="1:16" s="2163" customFormat="1" ht="14.25" customHeight="1" thickBot="1">
      <c r="A171" s="3000"/>
      <c r="B171" s="2231" t="s">
        <v>2632</v>
      </c>
      <c r="C171" s="2196" t="s">
        <v>2886</v>
      </c>
      <c r="D171" s="2232">
        <f t="shared" si="93"/>
        <v>1</v>
      </c>
      <c r="E171" s="2233">
        <f t="shared" si="93"/>
        <v>0</v>
      </c>
      <c r="F171" s="2218">
        <f t="shared" si="87"/>
        <v>0</v>
      </c>
      <c r="G171" s="2219">
        <f>ROUNDDOWN(G157*$E171*$D171,0)</f>
        <v>0</v>
      </c>
      <c r="H171" s="2219">
        <f t="shared" si="94"/>
        <v>0</v>
      </c>
      <c r="I171" s="2219">
        <f t="shared" si="94"/>
        <v>0</v>
      </c>
      <c r="J171" s="2219">
        <f t="shared" si="94"/>
        <v>0</v>
      </c>
      <c r="K171" s="2219">
        <f t="shared" si="94"/>
        <v>0</v>
      </c>
      <c r="L171" s="2219">
        <f t="shared" si="94"/>
        <v>0</v>
      </c>
      <c r="M171" s="2219">
        <f t="shared" si="94"/>
        <v>0</v>
      </c>
      <c r="N171" s="2225">
        <f t="shared" si="94"/>
        <v>0</v>
      </c>
      <c r="O171" s="2174"/>
      <c r="P171" s="2174"/>
    </row>
    <row r="172" spans="1:16" s="2163" customFormat="1" ht="14.25" customHeight="1" thickTop="1">
      <c r="A172" s="2234"/>
      <c r="B172" s="2235"/>
      <c r="C172" s="2236" t="s">
        <v>2641</v>
      </c>
      <c r="D172" s="2237"/>
      <c r="E172" s="2238"/>
      <c r="F172" s="2239">
        <f t="shared" si="87"/>
        <v>0</v>
      </c>
      <c r="G172" s="2240">
        <f t="shared" ref="G172:N172" si="95">SUM(G163:G171)+G161</f>
        <v>0</v>
      </c>
      <c r="H172" s="2240">
        <f t="shared" si="95"/>
        <v>0</v>
      </c>
      <c r="I172" s="2240">
        <f t="shared" si="95"/>
        <v>0</v>
      </c>
      <c r="J172" s="2240">
        <f>SUM(J163:J171)+J161</f>
        <v>0</v>
      </c>
      <c r="K172" s="2240">
        <f>SUM(K163:K171)+K161</f>
        <v>0</v>
      </c>
      <c r="L172" s="2240">
        <f t="shared" si="95"/>
        <v>0</v>
      </c>
      <c r="M172" s="2240">
        <f t="shared" si="95"/>
        <v>0</v>
      </c>
      <c r="N172" s="2241">
        <f t="shared" si="95"/>
        <v>0</v>
      </c>
      <c r="O172" s="2174"/>
      <c r="P172" s="2174"/>
    </row>
    <row r="173" spans="1:16" ht="15" customHeight="1">
      <c r="A173" s="1744"/>
      <c r="B173" s="2242"/>
      <c r="C173" s="2243"/>
      <c r="D173" s="2244"/>
      <c r="E173" s="1740"/>
      <c r="F173" s="2245"/>
      <c r="G173" s="2246"/>
      <c r="H173" s="2246"/>
      <c r="I173" s="2246"/>
      <c r="J173" s="2246"/>
      <c r="K173" s="2246"/>
      <c r="L173" s="2246"/>
      <c r="M173" s="2246"/>
      <c r="N173" s="2246"/>
    </row>
    <row r="174" spans="1:16" ht="15" customHeight="1">
      <c r="A174" s="1705"/>
      <c r="B174" s="1705"/>
      <c r="C174" s="1965" t="s">
        <v>2887</v>
      </c>
      <c r="D174" s="1965"/>
      <c r="E174" s="1706"/>
      <c r="F174" s="1706"/>
      <c r="G174" s="1715"/>
      <c r="H174" s="1715"/>
      <c r="I174" s="1715"/>
      <c r="J174" s="1715"/>
      <c r="K174" s="1715"/>
      <c r="L174" s="1715"/>
      <c r="M174" s="1715"/>
      <c r="N174" s="1711" t="s">
        <v>2888</v>
      </c>
    </row>
    <row r="175" spans="1:16" ht="15" customHeight="1">
      <c r="A175" s="1705"/>
      <c r="B175" s="1705"/>
      <c r="C175" s="2247" t="s">
        <v>2889</v>
      </c>
      <c r="D175" s="2247"/>
      <c r="E175" s="1706"/>
      <c r="F175" s="1706"/>
      <c r="G175" s="1715"/>
      <c r="H175" s="1715"/>
      <c r="I175" s="1715"/>
      <c r="J175" s="1715"/>
      <c r="K175" s="1715"/>
      <c r="L175" s="1715"/>
      <c r="M175" s="1715"/>
      <c r="N175" s="1966"/>
    </row>
    <row r="176" spans="1:16" ht="15" customHeight="1">
      <c r="A176" s="1716"/>
      <c r="B176" s="1717"/>
      <c r="C176" s="1717"/>
      <c r="D176" s="3017"/>
      <c r="E176" s="3017" t="s">
        <v>2656</v>
      </c>
      <c r="F176" s="2248" t="s">
        <v>2505</v>
      </c>
      <c r="G176" s="2249" t="str">
        <f t="shared" ref="G176:N176" si="96">+G89</f>
        <v>工事１</v>
      </c>
      <c r="H176" s="2249">
        <f t="shared" si="96"/>
        <v>0</v>
      </c>
      <c r="I176" s="2249">
        <f t="shared" si="96"/>
        <v>0</v>
      </c>
      <c r="J176" s="2249">
        <f>+J89</f>
        <v>0</v>
      </c>
      <c r="K176" s="2249">
        <f>+K89</f>
        <v>0</v>
      </c>
      <c r="L176" s="2249">
        <f t="shared" si="96"/>
        <v>0</v>
      </c>
      <c r="M176" s="2249">
        <f t="shared" si="96"/>
        <v>0</v>
      </c>
      <c r="N176" s="2250">
        <f t="shared" si="96"/>
        <v>0</v>
      </c>
    </row>
    <row r="177" spans="1:14" ht="14.25" customHeight="1">
      <c r="A177" s="3019" t="s">
        <v>2645</v>
      </c>
      <c r="B177" s="3020"/>
      <c r="C177" s="3020"/>
      <c r="D177" s="3018"/>
      <c r="E177" s="3018"/>
      <c r="F177" s="2251"/>
      <c r="G177" s="2252"/>
      <c r="H177" s="2252"/>
      <c r="I177" s="2252"/>
      <c r="J177" s="2252"/>
      <c r="K177" s="2252"/>
      <c r="L177" s="2252"/>
      <c r="M177" s="2252"/>
      <c r="N177" s="2253"/>
    </row>
    <row r="178" spans="1:14" ht="15" customHeight="1">
      <c r="A178" s="2254"/>
      <c r="B178" s="2255" t="s">
        <v>2775</v>
      </c>
      <c r="C178" s="2256"/>
      <c r="D178" s="2249"/>
      <c r="E178" s="2257"/>
      <c r="F178" s="2258">
        <f>SUM(G178:N178)</f>
        <v>0</v>
      </c>
      <c r="G178" s="2259">
        <f t="shared" ref="G178:N178" si="97">SUM(G121:G124)</f>
        <v>0</v>
      </c>
      <c r="H178" s="2259">
        <f t="shared" si="97"/>
        <v>0</v>
      </c>
      <c r="I178" s="2259">
        <f t="shared" si="97"/>
        <v>0</v>
      </c>
      <c r="J178" s="2259">
        <f>SUM(J121:J124)</f>
        <v>0</v>
      </c>
      <c r="K178" s="2259">
        <f>SUM(K121:K124)</f>
        <v>0</v>
      </c>
      <c r="L178" s="2259">
        <f t="shared" si="97"/>
        <v>0</v>
      </c>
      <c r="M178" s="2259">
        <f t="shared" si="97"/>
        <v>0</v>
      </c>
      <c r="N178" s="2260">
        <f t="shared" si="97"/>
        <v>0</v>
      </c>
    </row>
    <row r="179" spans="1:14" ht="15" customHeight="1">
      <c r="A179" s="2261"/>
      <c r="B179" s="2946" t="s">
        <v>2728</v>
      </c>
      <c r="C179" s="2061" t="s">
        <v>2530</v>
      </c>
      <c r="D179" s="2249"/>
      <c r="E179" s="2262" t="s">
        <v>2777</v>
      </c>
      <c r="F179" s="2258">
        <f>SUM(G179:N179)</f>
        <v>0</v>
      </c>
      <c r="G179" s="2263">
        <f t="shared" ref="G179:N179" si="98">+G121</f>
        <v>0</v>
      </c>
      <c r="H179" s="2263">
        <f t="shared" si="98"/>
        <v>0</v>
      </c>
      <c r="I179" s="2263">
        <f t="shared" si="98"/>
        <v>0</v>
      </c>
      <c r="J179" s="2263">
        <f>+J121</f>
        <v>0</v>
      </c>
      <c r="K179" s="2263">
        <f>+K121</f>
        <v>0</v>
      </c>
      <c r="L179" s="2263">
        <f t="shared" si="98"/>
        <v>0</v>
      </c>
      <c r="M179" s="2263">
        <f t="shared" si="98"/>
        <v>0</v>
      </c>
      <c r="N179" s="2264">
        <f t="shared" si="98"/>
        <v>0</v>
      </c>
    </row>
    <row r="180" spans="1:14" ht="15" customHeight="1">
      <c r="A180" s="2265"/>
      <c r="B180" s="2947"/>
      <c r="C180" s="2127" t="s">
        <v>2531</v>
      </c>
      <c r="D180" s="2266"/>
      <c r="E180" s="2267" t="s">
        <v>2777</v>
      </c>
      <c r="F180" s="2268">
        <f>SUM(G180:N180)</f>
        <v>0</v>
      </c>
      <c r="G180" s="2137">
        <f t="shared" ref="G180:N181" si="99">G122</f>
        <v>0</v>
      </c>
      <c r="H180" s="2137">
        <f t="shared" si="99"/>
        <v>0</v>
      </c>
      <c r="I180" s="2137">
        <f t="shared" si="99"/>
        <v>0</v>
      </c>
      <c r="J180" s="2137">
        <f>J122</f>
        <v>0</v>
      </c>
      <c r="K180" s="2137">
        <f>K122</f>
        <v>0</v>
      </c>
      <c r="L180" s="2137">
        <f t="shared" si="99"/>
        <v>0</v>
      </c>
      <c r="M180" s="2137">
        <f t="shared" si="99"/>
        <v>0</v>
      </c>
      <c r="N180" s="2138">
        <f t="shared" si="99"/>
        <v>0</v>
      </c>
    </row>
    <row r="181" spans="1:14" ht="15" customHeight="1">
      <c r="A181" s="2265"/>
      <c r="B181" s="2947"/>
      <c r="C181" s="2127" t="s">
        <v>2890</v>
      </c>
      <c r="D181" s="2266"/>
      <c r="E181" s="2267" t="s">
        <v>2777</v>
      </c>
      <c r="F181" s="2268">
        <f>SUM(G181:N181)</f>
        <v>0</v>
      </c>
      <c r="G181" s="2137">
        <f t="shared" si="99"/>
        <v>0</v>
      </c>
      <c r="H181" s="2137">
        <f t="shared" si="99"/>
        <v>0</v>
      </c>
      <c r="I181" s="2137">
        <f t="shared" si="99"/>
        <v>0</v>
      </c>
      <c r="J181" s="2137">
        <f>J123</f>
        <v>0</v>
      </c>
      <c r="K181" s="2137">
        <f>K123</f>
        <v>0</v>
      </c>
      <c r="L181" s="2137">
        <f t="shared" si="99"/>
        <v>0</v>
      </c>
      <c r="M181" s="2137">
        <f t="shared" si="99"/>
        <v>0</v>
      </c>
      <c r="N181" s="2138">
        <f t="shared" si="99"/>
        <v>0</v>
      </c>
    </row>
    <row r="182" spans="1:14" ht="15" customHeight="1">
      <c r="A182" s="2265"/>
      <c r="B182" s="3021"/>
      <c r="C182" s="2269" t="s">
        <v>2854</v>
      </c>
      <c r="D182" s="2266"/>
      <c r="E182" s="2267" t="s">
        <v>2777</v>
      </c>
      <c r="F182" s="2128">
        <f>F172</f>
        <v>0</v>
      </c>
      <c r="G182" s="2128">
        <f t="shared" ref="G182:N182" si="100">G172</f>
        <v>0</v>
      </c>
      <c r="H182" s="2128">
        <f t="shared" si="100"/>
        <v>0</v>
      </c>
      <c r="I182" s="2128">
        <f t="shared" si="100"/>
        <v>0</v>
      </c>
      <c r="J182" s="2128">
        <f>J172</f>
        <v>0</v>
      </c>
      <c r="K182" s="2128">
        <f>K172</f>
        <v>0</v>
      </c>
      <c r="L182" s="2128">
        <f t="shared" si="100"/>
        <v>0</v>
      </c>
      <c r="M182" s="2128">
        <f t="shared" si="100"/>
        <v>0</v>
      </c>
      <c r="N182" s="2129">
        <f t="shared" si="100"/>
        <v>0</v>
      </c>
    </row>
    <row r="183" spans="1:14" ht="15" customHeight="1">
      <c r="A183" s="2265"/>
      <c r="B183" s="3022" t="s">
        <v>2729</v>
      </c>
      <c r="C183" s="2270" t="s">
        <v>2855</v>
      </c>
      <c r="D183" s="2266"/>
      <c r="E183" s="2141">
        <v>0.2</v>
      </c>
      <c r="F183" s="2137">
        <f t="shared" ref="F183:F188" si="101">INT(F125/(1+$E183))</f>
        <v>0</v>
      </c>
      <c r="G183" s="2137">
        <f t="shared" ref="G183:G188" si="102">F183-SUM(H183:N183)</f>
        <v>0</v>
      </c>
      <c r="H183" s="2137">
        <f t="shared" ref="H183:N183" si="103">INT(H125/(1+$E183))</f>
        <v>0</v>
      </c>
      <c r="I183" s="2137">
        <f t="shared" si="103"/>
        <v>0</v>
      </c>
      <c r="J183" s="2137">
        <f t="shared" si="103"/>
        <v>0</v>
      </c>
      <c r="K183" s="2137">
        <f t="shared" si="103"/>
        <v>0</v>
      </c>
      <c r="L183" s="2137">
        <f t="shared" si="103"/>
        <v>0</v>
      </c>
      <c r="M183" s="2137">
        <f t="shared" si="103"/>
        <v>0</v>
      </c>
      <c r="N183" s="2138">
        <f t="shared" si="103"/>
        <v>0</v>
      </c>
    </row>
    <row r="184" spans="1:14" ht="15" customHeight="1">
      <c r="A184" s="2265"/>
      <c r="B184" s="3023"/>
      <c r="C184" s="2127" t="s">
        <v>2891</v>
      </c>
      <c r="D184" s="2266"/>
      <c r="E184" s="2141">
        <v>0.2</v>
      </c>
      <c r="F184" s="2137">
        <f t="shared" si="101"/>
        <v>0</v>
      </c>
      <c r="G184" s="2137">
        <f t="shared" si="102"/>
        <v>0</v>
      </c>
      <c r="H184" s="2137">
        <f t="shared" ref="H184:N188" si="104">IF(H126=0,0,ROUND($F184/$F126*H126,0))</f>
        <v>0</v>
      </c>
      <c r="I184" s="2137">
        <f t="shared" si="104"/>
        <v>0</v>
      </c>
      <c r="J184" s="2137">
        <f t="shared" si="104"/>
        <v>0</v>
      </c>
      <c r="K184" s="2137">
        <f t="shared" si="104"/>
        <v>0</v>
      </c>
      <c r="L184" s="2137">
        <f t="shared" si="104"/>
        <v>0</v>
      </c>
      <c r="M184" s="2137">
        <f t="shared" si="104"/>
        <v>0</v>
      </c>
      <c r="N184" s="2138">
        <f t="shared" si="104"/>
        <v>0</v>
      </c>
    </row>
    <row r="185" spans="1:14" ht="15" customHeight="1">
      <c r="A185" s="2265"/>
      <c r="B185" s="3023"/>
      <c r="C185" s="2135" t="s">
        <v>2892</v>
      </c>
      <c r="D185" s="2266"/>
      <c r="E185" s="2271">
        <f>E151</f>
        <v>0.25</v>
      </c>
      <c r="F185" s="2137">
        <f t="shared" si="101"/>
        <v>0</v>
      </c>
      <c r="G185" s="2137">
        <f t="shared" si="102"/>
        <v>0</v>
      </c>
      <c r="H185" s="2137">
        <f t="shared" si="104"/>
        <v>0</v>
      </c>
      <c r="I185" s="2137">
        <f t="shared" si="104"/>
        <v>0</v>
      </c>
      <c r="J185" s="2137">
        <f t="shared" si="104"/>
        <v>0</v>
      </c>
      <c r="K185" s="2137">
        <f t="shared" si="104"/>
        <v>0</v>
      </c>
      <c r="L185" s="2137">
        <f t="shared" si="104"/>
        <v>0</v>
      </c>
      <c r="M185" s="2137">
        <f t="shared" si="104"/>
        <v>0</v>
      </c>
      <c r="N185" s="2138">
        <f t="shared" si="104"/>
        <v>0</v>
      </c>
    </row>
    <row r="186" spans="1:14" ht="15" customHeight="1">
      <c r="A186" s="2265"/>
      <c r="B186" s="3023"/>
      <c r="C186" s="2127" t="s">
        <v>2877</v>
      </c>
      <c r="D186" s="2266"/>
      <c r="E186" s="2141">
        <v>0.2</v>
      </c>
      <c r="F186" s="2137">
        <f t="shared" si="101"/>
        <v>0</v>
      </c>
      <c r="G186" s="2137">
        <f t="shared" si="102"/>
        <v>0</v>
      </c>
      <c r="H186" s="2137">
        <f t="shared" si="104"/>
        <v>0</v>
      </c>
      <c r="I186" s="2137">
        <f t="shared" si="104"/>
        <v>0</v>
      </c>
      <c r="J186" s="2137">
        <f t="shared" si="104"/>
        <v>0</v>
      </c>
      <c r="K186" s="2137">
        <f t="shared" si="104"/>
        <v>0</v>
      </c>
      <c r="L186" s="2137">
        <f t="shared" si="104"/>
        <v>0</v>
      </c>
      <c r="M186" s="2137">
        <f t="shared" si="104"/>
        <v>0</v>
      </c>
      <c r="N186" s="2138">
        <f t="shared" si="104"/>
        <v>0</v>
      </c>
    </row>
    <row r="187" spans="1:14" ht="15" customHeight="1">
      <c r="A187" s="2265"/>
      <c r="B187" s="3023"/>
      <c r="C187" s="2127" t="s">
        <v>2893</v>
      </c>
      <c r="D187" s="2266"/>
      <c r="E187" s="2141">
        <v>0.2</v>
      </c>
      <c r="F187" s="2137">
        <f t="shared" si="101"/>
        <v>0</v>
      </c>
      <c r="G187" s="2137">
        <f t="shared" si="102"/>
        <v>0</v>
      </c>
      <c r="H187" s="2137">
        <f t="shared" si="104"/>
        <v>0</v>
      </c>
      <c r="I187" s="2137">
        <f t="shared" si="104"/>
        <v>0</v>
      </c>
      <c r="J187" s="2137">
        <f t="shared" si="104"/>
        <v>0</v>
      </c>
      <c r="K187" s="2137">
        <f t="shared" si="104"/>
        <v>0</v>
      </c>
      <c r="L187" s="2137">
        <f t="shared" si="104"/>
        <v>0</v>
      </c>
      <c r="M187" s="2137">
        <f t="shared" si="104"/>
        <v>0</v>
      </c>
      <c r="N187" s="2138">
        <f t="shared" si="104"/>
        <v>0</v>
      </c>
    </row>
    <row r="188" spans="1:14" ht="15" customHeight="1">
      <c r="A188" s="2265"/>
      <c r="B188" s="3023"/>
      <c r="C188" s="2127" t="s">
        <v>2879</v>
      </c>
      <c r="D188" s="2266"/>
      <c r="E188" s="2141">
        <v>0.2</v>
      </c>
      <c r="F188" s="2137">
        <f t="shared" si="101"/>
        <v>0</v>
      </c>
      <c r="G188" s="2137">
        <f t="shared" si="102"/>
        <v>0</v>
      </c>
      <c r="H188" s="2137">
        <f t="shared" si="104"/>
        <v>0</v>
      </c>
      <c r="I188" s="2137">
        <f t="shared" si="104"/>
        <v>0</v>
      </c>
      <c r="J188" s="2137">
        <f t="shared" si="104"/>
        <v>0</v>
      </c>
      <c r="K188" s="2137">
        <f t="shared" si="104"/>
        <v>0</v>
      </c>
      <c r="L188" s="2137">
        <f t="shared" si="104"/>
        <v>0</v>
      </c>
      <c r="M188" s="2137">
        <f t="shared" si="104"/>
        <v>0</v>
      </c>
      <c r="N188" s="2138">
        <f t="shared" si="104"/>
        <v>0</v>
      </c>
    </row>
    <row r="189" spans="1:14" ht="15" customHeight="1">
      <c r="A189" s="2265"/>
      <c r="B189" s="3023"/>
      <c r="C189" s="2127"/>
      <c r="D189" s="2266"/>
      <c r="E189" s="2141"/>
      <c r="F189" s="2268"/>
      <c r="G189" s="2137"/>
      <c r="H189" s="2137"/>
      <c r="I189" s="2137"/>
      <c r="J189" s="2137"/>
      <c r="K189" s="2137"/>
      <c r="L189" s="2137"/>
      <c r="M189" s="2137"/>
      <c r="N189" s="2138"/>
    </row>
    <row r="190" spans="1:14" ht="15" customHeight="1">
      <c r="A190" s="2265"/>
      <c r="B190" s="3012"/>
      <c r="C190" s="2127"/>
      <c r="D190" s="2266"/>
      <c r="E190" s="2141"/>
      <c r="F190" s="2268"/>
      <c r="G190" s="2137"/>
      <c r="H190" s="2137"/>
      <c r="I190" s="2137"/>
      <c r="J190" s="2137"/>
      <c r="K190" s="2137"/>
      <c r="L190" s="2137"/>
      <c r="M190" s="2137"/>
      <c r="N190" s="2138"/>
    </row>
    <row r="191" spans="1:14" ht="15" customHeight="1">
      <c r="A191" s="2265"/>
      <c r="B191" s="3022" t="s">
        <v>477</v>
      </c>
      <c r="C191" s="2127" t="s">
        <v>2894</v>
      </c>
      <c r="D191" s="2266"/>
      <c r="E191" s="2141">
        <v>0.02</v>
      </c>
      <c r="F191" s="2268">
        <f>SUM(G191:N191)</f>
        <v>0</v>
      </c>
      <c r="G191" s="2137">
        <f>+G133</f>
        <v>0</v>
      </c>
      <c r="H191" s="2137">
        <f t="shared" ref="H191:N193" si="105">+H133</f>
        <v>0</v>
      </c>
      <c r="I191" s="2137">
        <f t="shared" si="105"/>
        <v>0</v>
      </c>
      <c r="J191" s="2137">
        <f t="shared" si="105"/>
        <v>0</v>
      </c>
      <c r="K191" s="2137">
        <f t="shared" si="105"/>
        <v>0</v>
      </c>
      <c r="L191" s="2137">
        <f t="shared" si="105"/>
        <v>0</v>
      </c>
      <c r="M191" s="2137">
        <f t="shared" si="105"/>
        <v>0</v>
      </c>
      <c r="N191" s="2138">
        <f t="shared" si="105"/>
        <v>0</v>
      </c>
    </row>
    <row r="192" spans="1:14" ht="15" customHeight="1">
      <c r="A192" s="2265"/>
      <c r="B192" s="2947"/>
      <c r="C192" s="2143" t="s">
        <v>2895</v>
      </c>
      <c r="D192" s="2266"/>
      <c r="E192" s="2141">
        <v>0.02</v>
      </c>
      <c r="F192" s="2268">
        <f>SUM(G192:N192)</f>
        <v>0</v>
      </c>
      <c r="G192" s="2137">
        <f>+G134</f>
        <v>0</v>
      </c>
      <c r="H192" s="2137">
        <f t="shared" si="105"/>
        <v>0</v>
      </c>
      <c r="I192" s="2137">
        <f t="shared" si="105"/>
        <v>0</v>
      </c>
      <c r="J192" s="2137">
        <f t="shared" si="105"/>
        <v>0</v>
      </c>
      <c r="K192" s="2137">
        <f t="shared" si="105"/>
        <v>0</v>
      </c>
      <c r="L192" s="2137">
        <f t="shared" si="105"/>
        <v>0</v>
      </c>
      <c r="M192" s="2137">
        <f t="shared" si="105"/>
        <v>0</v>
      </c>
      <c r="N192" s="2138">
        <f t="shared" si="105"/>
        <v>0</v>
      </c>
    </row>
    <row r="193" spans="1:14" ht="15" customHeight="1">
      <c r="A193" s="2265"/>
      <c r="B193" s="3021"/>
      <c r="C193" s="2143" t="s">
        <v>2896</v>
      </c>
      <c r="D193" s="2266"/>
      <c r="E193" s="2141">
        <v>0.02</v>
      </c>
      <c r="F193" s="2268">
        <f>SUM(G193:N193)</f>
        <v>0</v>
      </c>
      <c r="G193" s="2137">
        <f>+G135</f>
        <v>0</v>
      </c>
      <c r="H193" s="2137">
        <f t="shared" si="105"/>
        <v>0</v>
      </c>
      <c r="I193" s="2137">
        <f t="shared" si="105"/>
        <v>0</v>
      </c>
      <c r="J193" s="2137">
        <f t="shared" si="105"/>
        <v>0</v>
      </c>
      <c r="K193" s="2137">
        <f t="shared" si="105"/>
        <v>0</v>
      </c>
      <c r="L193" s="2137">
        <f t="shared" si="105"/>
        <v>0</v>
      </c>
      <c r="M193" s="2137">
        <f t="shared" si="105"/>
        <v>0</v>
      </c>
      <c r="N193" s="2138">
        <f t="shared" si="105"/>
        <v>0</v>
      </c>
    </row>
    <row r="194" spans="1:14" ht="15" customHeight="1">
      <c r="A194" s="2272"/>
      <c r="B194" s="2273" t="s">
        <v>2632</v>
      </c>
      <c r="C194" s="2274" t="s">
        <v>2897</v>
      </c>
      <c r="D194" s="2275"/>
      <c r="E194" s="2276">
        <v>0</v>
      </c>
      <c r="F194" s="2277">
        <f>SUM(G194:N194)</f>
        <v>0</v>
      </c>
      <c r="G194" s="2278">
        <f t="shared" ref="G194:N194" si="106">SUM(G136:G142)</f>
        <v>0</v>
      </c>
      <c r="H194" s="2278">
        <f t="shared" si="106"/>
        <v>0</v>
      </c>
      <c r="I194" s="2278">
        <f t="shared" si="106"/>
        <v>0</v>
      </c>
      <c r="J194" s="2278">
        <f>SUM(J136:J142)</f>
        <v>0</v>
      </c>
      <c r="K194" s="2278">
        <f>SUM(K136:K142)</f>
        <v>0</v>
      </c>
      <c r="L194" s="2278">
        <f t="shared" si="106"/>
        <v>0</v>
      </c>
      <c r="M194" s="2278">
        <f t="shared" si="106"/>
        <v>0</v>
      </c>
      <c r="N194" s="2279">
        <f t="shared" si="106"/>
        <v>0</v>
      </c>
    </row>
    <row r="195" spans="1:14" ht="15" customHeight="1">
      <c r="A195" s="2280" t="s">
        <v>2552</v>
      </c>
      <c r="B195" s="2281"/>
      <c r="C195" s="2281"/>
      <c r="D195" s="2282"/>
      <c r="E195" s="2283" t="s">
        <v>2787</v>
      </c>
      <c r="F195" s="2284"/>
      <c r="G195" s="2285"/>
      <c r="H195" s="2285"/>
      <c r="I195" s="2285"/>
      <c r="J195" s="2285"/>
      <c r="K195" s="2285"/>
      <c r="L195" s="2285"/>
      <c r="M195" s="2285"/>
      <c r="N195" s="2286"/>
    </row>
    <row r="196" spans="1:14" ht="15" customHeight="1">
      <c r="A196" s="2261"/>
      <c r="B196" s="2946" t="s">
        <v>2728</v>
      </c>
      <c r="C196" s="2287" t="s">
        <v>2530</v>
      </c>
      <c r="D196" s="2288"/>
      <c r="E196" s="2289" t="s">
        <v>2873</v>
      </c>
      <c r="F196" s="2290" t="s">
        <v>2789</v>
      </c>
      <c r="G196" s="2291">
        <f t="shared" ref="G196:N196" si="107">IF(G179=0,0,+G282/100)</f>
        <v>0</v>
      </c>
      <c r="H196" s="2291">
        <f t="shared" si="107"/>
        <v>0</v>
      </c>
      <c r="I196" s="2291">
        <f t="shared" si="107"/>
        <v>0</v>
      </c>
      <c r="J196" s="2291">
        <f>IF(J179=0,0,+J282/100)</f>
        <v>0</v>
      </c>
      <c r="K196" s="2291">
        <f>IF(K179=0,0,+K282/100)</f>
        <v>0</v>
      </c>
      <c r="L196" s="2291">
        <f t="shared" si="107"/>
        <v>0</v>
      </c>
      <c r="M196" s="2291">
        <f t="shared" si="107"/>
        <v>0</v>
      </c>
      <c r="N196" s="2292">
        <f t="shared" si="107"/>
        <v>0</v>
      </c>
    </row>
    <row r="197" spans="1:14" ht="15" customHeight="1">
      <c r="A197" s="2265"/>
      <c r="B197" s="2947"/>
      <c r="C197" s="2293"/>
      <c r="D197" s="2294">
        <v>1</v>
      </c>
      <c r="E197" s="2295" t="s">
        <v>2873</v>
      </c>
      <c r="F197" s="2037">
        <f>SUM(G197:N197)</f>
        <v>0</v>
      </c>
      <c r="G197" s="2296">
        <f t="shared" ref="G197:N197" si="108">ROUNDDOWN(G179*G196*$D197,0)</f>
        <v>0</v>
      </c>
      <c r="H197" s="2296">
        <f t="shared" si="108"/>
        <v>0</v>
      </c>
      <c r="I197" s="2296">
        <f t="shared" si="108"/>
        <v>0</v>
      </c>
      <c r="J197" s="2296">
        <f>ROUNDDOWN(J179*J196*$D197,0)</f>
        <v>0</v>
      </c>
      <c r="K197" s="2296">
        <f>ROUNDDOWN(K179*K196*$D197,0)</f>
        <v>0</v>
      </c>
      <c r="L197" s="2296">
        <f t="shared" si="108"/>
        <v>0</v>
      </c>
      <c r="M197" s="2296">
        <f t="shared" si="108"/>
        <v>0</v>
      </c>
      <c r="N197" s="2297">
        <f t="shared" si="108"/>
        <v>0</v>
      </c>
    </row>
    <row r="198" spans="1:14" ht="15" customHeight="1">
      <c r="A198" s="2265"/>
      <c r="B198" s="2947"/>
      <c r="C198" s="2298" t="s">
        <v>2531</v>
      </c>
      <c r="D198" s="2042"/>
      <c r="E198" s="2295" t="s">
        <v>2790</v>
      </c>
      <c r="F198" s="2299" t="s">
        <v>2898</v>
      </c>
      <c r="G198" s="2300">
        <f t="shared" ref="G198:N198" si="109">IF(G180=0,0,+G290/100)</f>
        <v>0</v>
      </c>
      <c r="H198" s="2300">
        <f t="shared" si="109"/>
        <v>0</v>
      </c>
      <c r="I198" s="2300">
        <f t="shared" si="109"/>
        <v>0</v>
      </c>
      <c r="J198" s="2300">
        <f>IF(J180=0,0,+J290/100)</f>
        <v>0</v>
      </c>
      <c r="K198" s="2300">
        <f>IF(K180=0,0,+K290/100)</f>
        <v>0</v>
      </c>
      <c r="L198" s="2300">
        <f t="shared" si="109"/>
        <v>0</v>
      </c>
      <c r="M198" s="2300">
        <f t="shared" si="109"/>
        <v>0</v>
      </c>
      <c r="N198" s="2301">
        <f t="shared" si="109"/>
        <v>0</v>
      </c>
    </row>
    <row r="199" spans="1:14" ht="15" customHeight="1">
      <c r="A199" s="2265"/>
      <c r="B199" s="3023"/>
      <c r="C199" s="2293"/>
      <c r="D199" s="2294">
        <v>1</v>
      </c>
      <c r="E199" s="2295" t="s">
        <v>2790</v>
      </c>
      <c r="F199" s="2037">
        <f>SUM(G199:N199)</f>
        <v>0</v>
      </c>
      <c r="G199" s="2296">
        <f t="shared" ref="G199:N199" si="110">IF(G88="改修",ROUNDDOWN(G180*G198*$D199,0),0)</f>
        <v>0</v>
      </c>
      <c r="H199" s="2296">
        <f t="shared" si="110"/>
        <v>0</v>
      </c>
      <c r="I199" s="2296">
        <f t="shared" si="110"/>
        <v>0</v>
      </c>
      <c r="J199" s="2296">
        <f>IF(J88="改修",ROUNDDOWN(J180*J198*$D199,0),0)</f>
        <v>0</v>
      </c>
      <c r="K199" s="2296">
        <f>IF(K88="改修",ROUNDDOWN(K180*K198*$D199,0),0)</f>
        <v>0</v>
      </c>
      <c r="L199" s="2296">
        <f t="shared" si="110"/>
        <v>0</v>
      </c>
      <c r="M199" s="2296">
        <f t="shared" si="110"/>
        <v>0</v>
      </c>
      <c r="N199" s="2297">
        <f t="shared" si="110"/>
        <v>0</v>
      </c>
    </row>
    <row r="200" spans="1:14" ht="15" customHeight="1">
      <c r="A200" s="2265"/>
      <c r="B200" s="3023"/>
      <c r="C200" s="2302" t="s">
        <v>2899</v>
      </c>
      <c r="D200" s="2303"/>
      <c r="E200" s="2304"/>
      <c r="F200" s="2305" t="s">
        <v>2898</v>
      </c>
      <c r="G200" s="2306">
        <f t="shared" ref="G200:N200" si="111">IF(G182=0,0,IF(G88="改修",G290/100,G282/100))</f>
        <v>0</v>
      </c>
      <c r="H200" s="2306">
        <f t="shared" si="111"/>
        <v>0</v>
      </c>
      <c r="I200" s="2306">
        <f t="shared" si="111"/>
        <v>0</v>
      </c>
      <c r="J200" s="2306">
        <f>IF(J182=0,0,IF(J88="改修",J290/100,J282/100))</f>
        <v>0</v>
      </c>
      <c r="K200" s="2306">
        <f>IF(K182=0,0,IF(K88="改修",K290/100,K282/100))</f>
        <v>0</v>
      </c>
      <c r="L200" s="2306">
        <f t="shared" si="111"/>
        <v>0</v>
      </c>
      <c r="M200" s="2306">
        <f t="shared" si="111"/>
        <v>0</v>
      </c>
      <c r="N200" s="2307">
        <f t="shared" si="111"/>
        <v>0</v>
      </c>
    </row>
    <row r="201" spans="1:14" ht="15" customHeight="1">
      <c r="A201" s="2265"/>
      <c r="B201" s="3023"/>
      <c r="C201" s="2308" t="s">
        <v>2900</v>
      </c>
      <c r="D201" s="2309"/>
      <c r="E201" s="2304"/>
      <c r="F201" s="2305"/>
      <c r="G201" s="2122">
        <f t="shared" ref="G201:N201" si="112">ROUND(G181*G200,0)</f>
        <v>0</v>
      </c>
      <c r="H201" s="2122">
        <f t="shared" si="112"/>
        <v>0</v>
      </c>
      <c r="I201" s="2122">
        <f t="shared" si="112"/>
        <v>0</v>
      </c>
      <c r="J201" s="2122">
        <f>ROUND(J181*J200,0)</f>
        <v>0</v>
      </c>
      <c r="K201" s="2122">
        <f>ROUND(K181*K200,0)</f>
        <v>0</v>
      </c>
      <c r="L201" s="2122">
        <f t="shared" si="112"/>
        <v>0</v>
      </c>
      <c r="M201" s="2122">
        <f t="shared" si="112"/>
        <v>0</v>
      </c>
      <c r="N201" s="2123">
        <f t="shared" si="112"/>
        <v>0</v>
      </c>
    </row>
    <row r="202" spans="1:14" ht="15" customHeight="1">
      <c r="A202" s="2265"/>
      <c r="B202" s="3030"/>
      <c r="C202" s="2310" t="s">
        <v>2901</v>
      </c>
      <c r="D202" s="2311"/>
      <c r="E202" s="2312"/>
      <c r="F202" s="2313">
        <f>SUM(G202:N202)</f>
        <v>0</v>
      </c>
      <c r="G202" s="2130">
        <f t="shared" ref="G202:N202" si="113">ROUND(G182*G200,0)</f>
        <v>0</v>
      </c>
      <c r="H202" s="2130">
        <f t="shared" si="113"/>
        <v>0</v>
      </c>
      <c r="I202" s="2130">
        <f t="shared" si="113"/>
        <v>0</v>
      </c>
      <c r="J202" s="2130">
        <f>ROUND(J182*J200,0)</f>
        <v>0</v>
      </c>
      <c r="K202" s="2130">
        <f>ROUND(K182*K200,0)</f>
        <v>0</v>
      </c>
      <c r="L202" s="2130">
        <f t="shared" si="113"/>
        <v>0</v>
      </c>
      <c r="M202" s="2130">
        <f t="shared" si="113"/>
        <v>0</v>
      </c>
      <c r="N202" s="2131">
        <f t="shared" si="113"/>
        <v>0</v>
      </c>
    </row>
    <row r="203" spans="1:14" ht="15" customHeight="1">
      <c r="A203" s="2265"/>
      <c r="B203" s="3022" t="s">
        <v>2729</v>
      </c>
      <c r="C203" s="2127" t="str">
        <f>+C183</f>
        <v>(4-2)積上げ共通仮設工事※警備員費・率除外項目除く</v>
      </c>
      <c r="D203" s="2314"/>
      <c r="E203" s="2141">
        <f t="shared" ref="E203:E208" si="114">+E183</f>
        <v>0.2</v>
      </c>
      <c r="F203" s="2037">
        <f t="shared" ref="F203:F208" si="115">INT((F125-F183)*0.5)</f>
        <v>0</v>
      </c>
      <c r="G203" s="2137">
        <f t="shared" ref="G203:G208" si="116">F203-SUM(H203:N203)</f>
        <v>0</v>
      </c>
      <c r="H203" s="2137">
        <f t="shared" ref="H203:N208" si="117">IF(H183=0,0,ROUND($F203/$F183*H183,0))</f>
        <v>0</v>
      </c>
      <c r="I203" s="2137">
        <f t="shared" si="117"/>
        <v>0</v>
      </c>
      <c r="J203" s="2137">
        <f t="shared" si="117"/>
        <v>0</v>
      </c>
      <c r="K203" s="2137">
        <f t="shared" si="117"/>
        <v>0</v>
      </c>
      <c r="L203" s="2137">
        <f t="shared" si="117"/>
        <v>0</v>
      </c>
      <c r="M203" s="2137">
        <f t="shared" si="117"/>
        <v>0</v>
      </c>
      <c r="N203" s="2138">
        <f t="shared" si="117"/>
        <v>0</v>
      </c>
    </row>
    <row r="204" spans="1:14" ht="15" customHeight="1">
      <c r="A204" s="2265"/>
      <c r="B204" s="3023"/>
      <c r="C204" s="2127" t="str">
        <f>+C184</f>
        <v>(5)直接仮設工事</v>
      </c>
      <c r="D204" s="2314"/>
      <c r="E204" s="2141">
        <f t="shared" si="114"/>
        <v>0.2</v>
      </c>
      <c r="F204" s="2037">
        <f t="shared" si="115"/>
        <v>0</v>
      </c>
      <c r="G204" s="2137">
        <f t="shared" si="116"/>
        <v>0</v>
      </c>
      <c r="H204" s="2137">
        <f t="shared" si="117"/>
        <v>0</v>
      </c>
      <c r="I204" s="2137">
        <f t="shared" si="117"/>
        <v>0</v>
      </c>
      <c r="J204" s="2137">
        <f t="shared" si="117"/>
        <v>0</v>
      </c>
      <c r="K204" s="2137">
        <f t="shared" si="117"/>
        <v>0</v>
      </c>
      <c r="L204" s="2137">
        <f t="shared" si="117"/>
        <v>0</v>
      </c>
      <c r="M204" s="2137">
        <f t="shared" si="117"/>
        <v>0</v>
      </c>
      <c r="N204" s="2138">
        <f t="shared" si="117"/>
        <v>0</v>
      </c>
    </row>
    <row r="205" spans="1:14" ht="15" customHeight="1">
      <c r="A205" s="2265"/>
      <c r="B205" s="3023"/>
      <c r="C205" s="2135" t="str">
        <f>C185</f>
        <v>(6)建具工事</v>
      </c>
      <c r="D205" s="2314"/>
      <c r="E205" s="2315">
        <f t="shared" si="114"/>
        <v>0.25</v>
      </c>
      <c r="F205" s="2037">
        <f t="shared" si="115"/>
        <v>0</v>
      </c>
      <c r="G205" s="2137">
        <f t="shared" si="116"/>
        <v>0</v>
      </c>
      <c r="H205" s="2137">
        <f t="shared" si="117"/>
        <v>0</v>
      </c>
      <c r="I205" s="2137">
        <f t="shared" si="117"/>
        <v>0</v>
      </c>
      <c r="J205" s="2137">
        <f t="shared" si="117"/>
        <v>0</v>
      </c>
      <c r="K205" s="2137">
        <f t="shared" si="117"/>
        <v>0</v>
      </c>
      <c r="L205" s="2137">
        <f t="shared" si="117"/>
        <v>0</v>
      </c>
      <c r="M205" s="2137">
        <f t="shared" si="117"/>
        <v>0</v>
      </c>
      <c r="N205" s="2138">
        <f t="shared" si="117"/>
        <v>0</v>
      </c>
    </row>
    <row r="206" spans="1:14" ht="15" customHeight="1">
      <c r="A206" s="2265"/>
      <c r="B206" s="3023"/>
      <c r="C206" s="2127" t="str">
        <f>+C186</f>
        <v>(7)場内小運搬費</v>
      </c>
      <c r="D206" s="2314"/>
      <c r="E206" s="2141">
        <f t="shared" si="114"/>
        <v>0.2</v>
      </c>
      <c r="F206" s="2037">
        <f t="shared" si="115"/>
        <v>0</v>
      </c>
      <c r="G206" s="2137">
        <f t="shared" si="116"/>
        <v>0</v>
      </c>
      <c r="H206" s="2137">
        <f t="shared" si="117"/>
        <v>0</v>
      </c>
      <c r="I206" s="2137">
        <f t="shared" si="117"/>
        <v>0</v>
      </c>
      <c r="J206" s="2137">
        <f t="shared" si="117"/>
        <v>0</v>
      </c>
      <c r="K206" s="2137">
        <f t="shared" si="117"/>
        <v>0</v>
      </c>
      <c r="L206" s="2137">
        <f t="shared" si="117"/>
        <v>0</v>
      </c>
      <c r="M206" s="2137">
        <f t="shared" si="117"/>
        <v>0</v>
      </c>
      <c r="N206" s="2138">
        <f t="shared" si="117"/>
        <v>0</v>
      </c>
    </row>
    <row r="207" spans="1:14" ht="15" customHeight="1">
      <c r="A207" s="2265"/>
      <c r="B207" s="3023"/>
      <c r="C207" s="2127" t="str">
        <f>+C187</f>
        <v>(8)〃人力積込み費</v>
      </c>
      <c r="D207" s="2314"/>
      <c r="E207" s="2141">
        <f t="shared" si="114"/>
        <v>0.2</v>
      </c>
      <c r="F207" s="2037">
        <f t="shared" si="115"/>
        <v>0</v>
      </c>
      <c r="G207" s="2137">
        <f t="shared" si="116"/>
        <v>0</v>
      </c>
      <c r="H207" s="2137">
        <f t="shared" si="117"/>
        <v>0</v>
      </c>
      <c r="I207" s="2137">
        <f t="shared" si="117"/>
        <v>0</v>
      </c>
      <c r="J207" s="2137">
        <f t="shared" si="117"/>
        <v>0</v>
      </c>
      <c r="K207" s="2137">
        <f t="shared" si="117"/>
        <v>0</v>
      </c>
      <c r="L207" s="2137">
        <f t="shared" si="117"/>
        <v>0</v>
      </c>
      <c r="M207" s="2137">
        <f t="shared" si="117"/>
        <v>0</v>
      </c>
      <c r="N207" s="2316">
        <f t="shared" si="117"/>
        <v>0</v>
      </c>
    </row>
    <row r="208" spans="1:14" ht="15" customHeight="1">
      <c r="A208" s="2265"/>
      <c r="B208" s="3023"/>
      <c r="C208" s="2127" t="str">
        <f>+C188</f>
        <v>(9)〃搬出準備費</v>
      </c>
      <c r="D208" s="2314"/>
      <c r="E208" s="2141">
        <f t="shared" si="114"/>
        <v>0.2</v>
      </c>
      <c r="F208" s="2037">
        <f t="shared" si="115"/>
        <v>0</v>
      </c>
      <c r="G208" s="2137">
        <f t="shared" si="116"/>
        <v>0</v>
      </c>
      <c r="H208" s="2137">
        <f t="shared" si="117"/>
        <v>0</v>
      </c>
      <c r="I208" s="2137">
        <f t="shared" si="117"/>
        <v>0</v>
      </c>
      <c r="J208" s="2137">
        <f t="shared" si="117"/>
        <v>0</v>
      </c>
      <c r="K208" s="2137">
        <f t="shared" si="117"/>
        <v>0</v>
      </c>
      <c r="L208" s="2137">
        <f t="shared" si="117"/>
        <v>0</v>
      </c>
      <c r="M208" s="2137">
        <f t="shared" si="117"/>
        <v>0</v>
      </c>
      <c r="N208" s="2316">
        <f t="shared" si="117"/>
        <v>0</v>
      </c>
    </row>
    <row r="209" spans="1:14" ht="15" customHeight="1">
      <c r="A209" s="2265"/>
      <c r="B209" s="3023"/>
      <c r="C209" s="2127"/>
      <c r="D209" s="2314"/>
      <c r="E209" s="2317"/>
      <c r="F209" s="2037"/>
      <c r="G209" s="2137"/>
      <c r="H209" s="2137"/>
      <c r="I209" s="2137"/>
      <c r="J209" s="2137"/>
      <c r="K209" s="2137"/>
      <c r="L209" s="2137"/>
      <c r="M209" s="2137"/>
      <c r="N209" s="2138"/>
    </row>
    <row r="210" spans="1:14" ht="15" customHeight="1">
      <c r="A210" s="2265"/>
      <c r="B210" s="3012"/>
      <c r="C210" s="2127"/>
      <c r="D210" s="2314"/>
      <c r="E210" s="2141"/>
      <c r="F210" s="2037"/>
      <c r="G210" s="2137"/>
      <c r="H210" s="2137"/>
      <c r="I210" s="2137"/>
      <c r="J210" s="2137"/>
      <c r="K210" s="2137"/>
      <c r="L210" s="2137"/>
      <c r="M210" s="2137"/>
      <c r="N210" s="2138"/>
    </row>
    <row r="211" spans="1:14" ht="15" customHeight="1">
      <c r="A211" s="2265"/>
      <c r="B211" s="3022" t="s">
        <v>477</v>
      </c>
      <c r="C211" s="2127" t="s">
        <v>2894</v>
      </c>
      <c r="D211" s="2314"/>
      <c r="E211" s="2141">
        <f>+E191</f>
        <v>0.02</v>
      </c>
      <c r="F211" s="2037">
        <f>INT(F191*E211)</f>
        <v>0</v>
      </c>
      <c r="G211" s="2137">
        <f>F211-SUM(H211:N211)</f>
        <v>0</v>
      </c>
      <c r="H211" s="2137">
        <f t="shared" ref="H211:N213" si="118">IF(H191=0,0,ROUND($F211/$F191*H191,0))</f>
        <v>0</v>
      </c>
      <c r="I211" s="2137">
        <f t="shared" si="118"/>
        <v>0</v>
      </c>
      <c r="J211" s="2137">
        <f t="shared" si="118"/>
        <v>0</v>
      </c>
      <c r="K211" s="2137">
        <f t="shared" si="118"/>
        <v>0</v>
      </c>
      <c r="L211" s="2137">
        <f t="shared" si="118"/>
        <v>0</v>
      </c>
      <c r="M211" s="2137">
        <f t="shared" si="118"/>
        <v>0</v>
      </c>
      <c r="N211" s="2316">
        <f t="shared" si="118"/>
        <v>0</v>
      </c>
    </row>
    <row r="212" spans="1:14" ht="15" customHeight="1">
      <c r="A212" s="2265"/>
      <c r="B212" s="2947"/>
      <c r="C212" s="2143" t="s">
        <v>2902</v>
      </c>
      <c r="D212" s="2314"/>
      <c r="E212" s="2141">
        <f>+E192</f>
        <v>0.02</v>
      </c>
      <c r="F212" s="2037">
        <f>INT(F192*E212)</f>
        <v>0</v>
      </c>
      <c r="G212" s="2137">
        <f>F212-SUM(H212:N212)</f>
        <v>0</v>
      </c>
      <c r="H212" s="2137">
        <f t="shared" si="118"/>
        <v>0</v>
      </c>
      <c r="I212" s="2137">
        <f t="shared" si="118"/>
        <v>0</v>
      </c>
      <c r="J212" s="2137">
        <f t="shared" si="118"/>
        <v>0</v>
      </c>
      <c r="K212" s="2137">
        <f t="shared" si="118"/>
        <v>0</v>
      </c>
      <c r="L212" s="2137">
        <f t="shared" si="118"/>
        <v>0</v>
      </c>
      <c r="M212" s="2137">
        <f t="shared" si="118"/>
        <v>0</v>
      </c>
      <c r="N212" s="2316">
        <f t="shared" si="118"/>
        <v>0</v>
      </c>
    </row>
    <row r="213" spans="1:14" ht="14.25" customHeight="1">
      <c r="A213" s="2265"/>
      <c r="B213" s="3021"/>
      <c r="C213" s="2143" t="s">
        <v>2903</v>
      </c>
      <c r="D213" s="2314"/>
      <c r="E213" s="2141">
        <f>+E193</f>
        <v>0.02</v>
      </c>
      <c r="F213" s="2037">
        <f>INT(F193*E213)</f>
        <v>0</v>
      </c>
      <c r="G213" s="2137">
        <f>F213-SUM(H213:N213)</f>
        <v>0</v>
      </c>
      <c r="H213" s="2137">
        <f t="shared" si="118"/>
        <v>0</v>
      </c>
      <c r="I213" s="2137">
        <f t="shared" si="118"/>
        <v>0</v>
      </c>
      <c r="J213" s="2137">
        <f t="shared" si="118"/>
        <v>0</v>
      </c>
      <c r="K213" s="2137">
        <f t="shared" si="118"/>
        <v>0</v>
      </c>
      <c r="L213" s="2137">
        <f t="shared" si="118"/>
        <v>0</v>
      </c>
      <c r="M213" s="2137">
        <f t="shared" si="118"/>
        <v>0</v>
      </c>
      <c r="N213" s="2316">
        <f t="shared" si="118"/>
        <v>0</v>
      </c>
    </row>
    <row r="214" spans="1:14" ht="14.25" customHeight="1">
      <c r="A214" s="2265"/>
      <c r="B214" s="2318" t="s">
        <v>2561</v>
      </c>
      <c r="C214" s="2319" t="s">
        <v>2904</v>
      </c>
      <c r="D214" s="2320"/>
      <c r="E214" s="2141"/>
      <c r="F214" s="2321">
        <f>SUM(G214:N214)</f>
        <v>0</v>
      </c>
      <c r="G214" s="2150"/>
      <c r="H214" s="2150"/>
      <c r="I214" s="2150"/>
      <c r="J214" s="2150"/>
      <c r="K214" s="2150"/>
      <c r="L214" s="2150"/>
      <c r="M214" s="2150"/>
      <c r="N214" s="2151"/>
    </row>
    <row r="215" spans="1:14" ht="15" customHeight="1">
      <c r="A215" s="2265"/>
      <c r="B215" s="2322" t="s">
        <v>2563</v>
      </c>
      <c r="C215" s="2323" t="s">
        <v>2794</v>
      </c>
      <c r="D215" s="2320"/>
      <c r="E215" s="2141"/>
      <c r="F215" s="2268"/>
      <c r="G215" s="2137"/>
      <c r="H215" s="2137"/>
      <c r="I215" s="2137"/>
      <c r="J215" s="2137"/>
      <c r="K215" s="2137"/>
      <c r="L215" s="2137"/>
      <c r="M215" s="2137"/>
      <c r="N215" s="2138"/>
    </row>
    <row r="216" spans="1:14" ht="15" customHeight="1">
      <c r="A216" s="2265"/>
      <c r="B216" s="2324" t="s">
        <v>2632</v>
      </c>
      <c r="C216" s="2325" t="s">
        <v>2905</v>
      </c>
      <c r="D216" s="2326"/>
      <c r="E216" s="2327">
        <f>+E194</f>
        <v>0</v>
      </c>
      <c r="F216" s="2268">
        <f>INT(F194*E216)</f>
        <v>0</v>
      </c>
      <c r="G216" s="2137">
        <f>F216-SUM(H216:N216)</f>
        <v>0</v>
      </c>
      <c r="H216" s="2137">
        <f t="shared" ref="H216:N216" si="119">IF(H194=0,0,ROUND($F216/$F194*H194,0))</f>
        <v>0</v>
      </c>
      <c r="I216" s="2137">
        <f t="shared" si="119"/>
        <v>0</v>
      </c>
      <c r="J216" s="2137">
        <f t="shared" si="119"/>
        <v>0</v>
      </c>
      <c r="K216" s="2137">
        <f t="shared" si="119"/>
        <v>0</v>
      </c>
      <c r="L216" s="2137">
        <f t="shared" si="119"/>
        <v>0</v>
      </c>
      <c r="M216" s="2137">
        <f t="shared" si="119"/>
        <v>0</v>
      </c>
      <c r="N216" s="2316">
        <f t="shared" si="119"/>
        <v>0</v>
      </c>
    </row>
    <row r="217" spans="1:14" ht="15" customHeight="1" thickBot="1">
      <c r="A217" s="2328"/>
      <c r="B217" s="2329"/>
      <c r="C217" s="2330"/>
      <c r="D217" s="2331"/>
      <c r="E217" s="2327"/>
      <c r="F217" s="2332"/>
      <c r="G217" s="2137"/>
      <c r="H217" s="2333"/>
      <c r="I217" s="2333"/>
      <c r="J217" s="2333"/>
      <c r="K217" s="2333"/>
      <c r="L217" s="2333"/>
      <c r="M217" s="2333"/>
      <c r="N217" s="2334"/>
    </row>
    <row r="218" spans="1:14" ht="15" customHeight="1" thickTop="1">
      <c r="A218" s="2335"/>
      <c r="B218" s="2336"/>
      <c r="C218" s="2337" t="s">
        <v>2652</v>
      </c>
      <c r="D218" s="2338"/>
      <c r="E218" s="2339"/>
      <c r="F218" s="2340">
        <f>SUM(F196:F217)</f>
        <v>0</v>
      </c>
      <c r="G218" s="2340">
        <f t="shared" ref="G218:N218" si="120">G197+G199+SUM(G201:G216)</f>
        <v>0</v>
      </c>
      <c r="H218" s="2340">
        <f t="shared" si="120"/>
        <v>0</v>
      </c>
      <c r="I218" s="2340">
        <f t="shared" si="120"/>
        <v>0</v>
      </c>
      <c r="J218" s="2340">
        <f>J197+J199+SUM(J201:J216)</f>
        <v>0</v>
      </c>
      <c r="K218" s="2340">
        <f>K197+K199+SUM(K201:K216)</f>
        <v>0</v>
      </c>
      <c r="L218" s="2340">
        <f t="shared" si="120"/>
        <v>0</v>
      </c>
      <c r="M218" s="2340">
        <f t="shared" si="120"/>
        <v>0</v>
      </c>
      <c r="N218" s="2341">
        <f t="shared" si="120"/>
        <v>0</v>
      </c>
    </row>
    <row r="219" spans="1:14" ht="15" customHeight="1">
      <c r="A219" s="2342"/>
      <c r="B219" s="2343"/>
      <c r="C219" s="2344" t="s">
        <v>2653</v>
      </c>
      <c r="D219" s="2345"/>
      <c r="E219" s="2346"/>
      <c r="F219" s="2251">
        <f>SUM(G219:N219)</f>
        <v>0</v>
      </c>
      <c r="G219" s="2252">
        <f t="shared" ref="G219:N219" si="121">+G104+G218</f>
        <v>0</v>
      </c>
      <c r="H219" s="2252">
        <f t="shared" si="121"/>
        <v>0</v>
      </c>
      <c r="I219" s="2252">
        <f t="shared" si="121"/>
        <v>0</v>
      </c>
      <c r="J219" s="2252">
        <f>+J104+J218</f>
        <v>0</v>
      </c>
      <c r="K219" s="2252">
        <f>+K104+K218</f>
        <v>0</v>
      </c>
      <c r="L219" s="2252">
        <f t="shared" si="121"/>
        <v>0</v>
      </c>
      <c r="M219" s="2252">
        <f t="shared" si="121"/>
        <v>0</v>
      </c>
      <c r="N219" s="2347">
        <f t="shared" si="121"/>
        <v>0</v>
      </c>
    </row>
    <row r="220" spans="1:14" ht="15" customHeight="1">
      <c r="A220" s="1705"/>
      <c r="B220" s="1705"/>
      <c r="C220" s="1965" t="s">
        <v>2906</v>
      </c>
      <c r="D220" s="1965"/>
      <c r="E220" s="1706"/>
      <c r="F220" s="1706"/>
      <c r="G220" s="1966"/>
      <c r="H220" s="1715"/>
      <c r="I220" s="1715"/>
      <c r="J220" s="1715"/>
      <c r="K220" s="1715"/>
      <c r="L220" s="1715"/>
      <c r="M220" s="1715"/>
      <c r="N220" s="1711" t="s">
        <v>2907</v>
      </c>
    </row>
    <row r="221" spans="1:14" ht="15" customHeight="1">
      <c r="A221" s="1705"/>
      <c r="B221" s="1705"/>
      <c r="C221" s="1705"/>
      <c r="D221" s="1705"/>
      <c r="E221" s="1705"/>
      <c r="F221" s="1705"/>
      <c r="G221" s="1715"/>
      <c r="H221" s="1715"/>
      <c r="I221" s="1715"/>
      <c r="J221" s="1715"/>
      <c r="K221" s="1715"/>
      <c r="L221" s="1715"/>
      <c r="M221" s="1715"/>
      <c r="N221" s="1715"/>
    </row>
    <row r="222" spans="1:14" ht="15" customHeight="1">
      <c r="A222" s="3031"/>
      <c r="B222" s="3032"/>
      <c r="C222" s="3032"/>
      <c r="D222" s="2348"/>
      <c r="E222" s="2248" t="s">
        <v>2656</v>
      </c>
      <c r="F222" s="2248" t="s">
        <v>2505</v>
      </c>
      <c r="G222" s="2249" t="str">
        <f t="shared" ref="G222:N222" si="122">+G89</f>
        <v>工事１</v>
      </c>
      <c r="H222" s="2249">
        <f t="shared" si="122"/>
        <v>0</v>
      </c>
      <c r="I222" s="2249">
        <f t="shared" si="122"/>
        <v>0</v>
      </c>
      <c r="J222" s="2249">
        <f>+J89</f>
        <v>0</v>
      </c>
      <c r="K222" s="2249">
        <f>+K89</f>
        <v>0</v>
      </c>
      <c r="L222" s="2249">
        <f t="shared" si="122"/>
        <v>0</v>
      </c>
      <c r="M222" s="2249">
        <f t="shared" si="122"/>
        <v>0</v>
      </c>
      <c r="N222" s="2349">
        <f t="shared" si="122"/>
        <v>0</v>
      </c>
    </row>
    <row r="223" spans="1:14" ht="15" customHeight="1">
      <c r="A223" s="3033"/>
      <c r="B223" s="3034"/>
      <c r="C223" s="3034"/>
      <c r="D223" s="2350"/>
      <c r="E223" s="2346"/>
      <c r="F223" s="2351"/>
      <c r="G223" s="2352"/>
      <c r="H223" s="2352"/>
      <c r="I223" s="2352"/>
      <c r="J223" s="2352"/>
      <c r="K223" s="2352"/>
      <c r="L223" s="2352"/>
      <c r="M223" s="2352"/>
      <c r="N223" s="2353"/>
    </row>
    <row r="224" spans="1:14" ht="15" customHeight="1">
      <c r="A224" s="2354"/>
      <c r="B224" s="2355"/>
      <c r="C224" s="2356" t="s">
        <v>2797</v>
      </c>
      <c r="D224" s="2357"/>
      <c r="E224" s="2358"/>
      <c r="F224" s="2359">
        <f t="shared" ref="F224:N224" si="123">+F219</f>
        <v>0</v>
      </c>
      <c r="G224" s="2359">
        <f t="shared" si="123"/>
        <v>0</v>
      </c>
      <c r="H224" s="2359">
        <f t="shared" si="123"/>
        <v>0</v>
      </c>
      <c r="I224" s="2359">
        <f t="shared" si="123"/>
        <v>0</v>
      </c>
      <c r="J224" s="2359">
        <f>+J219</f>
        <v>0</v>
      </c>
      <c r="K224" s="2359">
        <f>+K219</f>
        <v>0</v>
      </c>
      <c r="L224" s="2359">
        <f t="shared" si="123"/>
        <v>0</v>
      </c>
      <c r="M224" s="2359">
        <f t="shared" si="123"/>
        <v>0</v>
      </c>
      <c r="N224" s="2360">
        <f t="shared" si="123"/>
        <v>0</v>
      </c>
    </row>
    <row r="225" spans="1:14" ht="15" customHeight="1">
      <c r="A225" s="2032"/>
      <c r="B225" s="2035"/>
      <c r="C225" s="2361"/>
      <c r="D225" s="2362"/>
      <c r="E225" s="1877" t="s">
        <v>2798</v>
      </c>
      <c r="F225" s="2363">
        <f>SUM(G225:N225)</f>
        <v>0</v>
      </c>
      <c r="G225" s="2128">
        <f t="shared" ref="G225:N225" si="124">G178+G199+G202+G140+G141</f>
        <v>0</v>
      </c>
      <c r="H225" s="2128">
        <f t="shared" si="124"/>
        <v>0</v>
      </c>
      <c r="I225" s="2128">
        <f t="shared" si="124"/>
        <v>0</v>
      </c>
      <c r="J225" s="2128">
        <f>J178+J199+J202+J140+J141</f>
        <v>0</v>
      </c>
      <c r="K225" s="2128">
        <f>K178+K199+K202+K140+K141</f>
        <v>0</v>
      </c>
      <c r="L225" s="2128">
        <f t="shared" si="124"/>
        <v>0</v>
      </c>
      <c r="M225" s="2128">
        <f t="shared" si="124"/>
        <v>0</v>
      </c>
      <c r="N225" s="2129">
        <f t="shared" si="124"/>
        <v>0</v>
      </c>
    </row>
    <row r="226" spans="1:14" ht="15" customHeight="1">
      <c r="A226" s="2046"/>
      <c r="B226" s="2049"/>
      <c r="C226" s="2364"/>
      <c r="D226" s="2365"/>
      <c r="E226" s="2366"/>
      <c r="F226" s="2277"/>
      <c r="G226" s="2278"/>
      <c r="H226" s="2278"/>
      <c r="I226" s="2278"/>
      <c r="J226" s="2278"/>
      <c r="K226" s="2278"/>
      <c r="L226" s="2278"/>
      <c r="M226" s="2278"/>
      <c r="N226" s="2279"/>
    </row>
    <row r="227" spans="1:14" ht="15" customHeight="1">
      <c r="A227" s="1716"/>
      <c r="B227" s="1717"/>
      <c r="C227" s="1717"/>
      <c r="D227" s="2367"/>
      <c r="E227" s="2358" t="str">
        <f>E89</f>
        <v>有り</v>
      </c>
      <c r="F227" s="3013" t="s">
        <v>2660</v>
      </c>
      <c r="G227" s="3013"/>
      <c r="H227" s="2263"/>
      <c r="I227" s="2263"/>
      <c r="J227" s="2263"/>
      <c r="K227" s="2263"/>
      <c r="L227" s="2263"/>
      <c r="M227" s="2263"/>
      <c r="N227" s="2264"/>
    </row>
    <row r="228" spans="1:14" ht="15" customHeight="1">
      <c r="A228" s="3014" t="s">
        <v>2661</v>
      </c>
      <c r="B228" s="3014"/>
      <c r="C228" s="3015"/>
      <c r="D228" s="2368"/>
      <c r="E228" s="2366" t="str">
        <f>+E90</f>
        <v>有り</v>
      </c>
      <c r="F228" s="3016" t="s">
        <v>2662</v>
      </c>
      <c r="G228" s="3016"/>
      <c r="H228" s="2278"/>
      <c r="I228" s="2278"/>
      <c r="J228" s="2278"/>
      <c r="K228" s="2278"/>
      <c r="L228" s="2278"/>
      <c r="M228" s="2278"/>
      <c r="N228" s="2279"/>
    </row>
    <row r="229" spans="1:14" ht="15" customHeight="1">
      <c r="A229" s="3024"/>
      <c r="B229" s="2369" t="s">
        <v>161</v>
      </c>
      <c r="C229" s="2370" t="s">
        <v>2908</v>
      </c>
      <c r="D229" s="2371"/>
      <c r="E229" s="2372">
        <f>G296/100</f>
        <v>0.11259999999999999</v>
      </c>
      <c r="F229" s="2359">
        <f>SUM(G229:N229)</f>
        <v>0</v>
      </c>
      <c r="G229" s="2373">
        <f t="shared" ref="G229:N229" si="125">G122+G123+G124+G140+G141+G197+G199+G202+SUM(G211:G216)-G234</f>
        <v>0</v>
      </c>
      <c r="H229" s="2373">
        <f t="shared" si="125"/>
        <v>0</v>
      </c>
      <c r="I229" s="2373">
        <f t="shared" si="125"/>
        <v>0</v>
      </c>
      <c r="J229" s="2373">
        <f>J122+J123+J124+J140+J141+J197+J199+J202+SUM(J211:J216)-J234</f>
        <v>0</v>
      </c>
      <c r="K229" s="2373">
        <f>K122+K123+K124+K140+K141+K197+K199+K202+SUM(K211:K216)-K234</f>
        <v>0</v>
      </c>
      <c r="L229" s="2373">
        <f t="shared" si="125"/>
        <v>0</v>
      </c>
      <c r="M229" s="2373">
        <f t="shared" si="125"/>
        <v>0</v>
      </c>
      <c r="N229" s="2374">
        <f t="shared" si="125"/>
        <v>0</v>
      </c>
    </row>
    <row r="230" spans="1:14" ht="15" customHeight="1">
      <c r="A230" s="3025"/>
      <c r="B230" s="3026" t="s">
        <v>2664</v>
      </c>
      <c r="C230" s="2375" t="s">
        <v>2665</v>
      </c>
      <c r="D230" s="2320"/>
      <c r="E230" s="2376">
        <f>IF(E227="無し",0.05,0)</f>
        <v>0</v>
      </c>
      <c r="F230" s="2268">
        <f>SUM(G230:N230)</f>
        <v>0</v>
      </c>
      <c r="G230" s="2128">
        <f t="shared" ref="G230:N230" si="126">G229</f>
        <v>0</v>
      </c>
      <c r="H230" s="2128">
        <f t="shared" si="126"/>
        <v>0</v>
      </c>
      <c r="I230" s="2128">
        <f t="shared" si="126"/>
        <v>0</v>
      </c>
      <c r="J230" s="2128">
        <f>J229</f>
        <v>0</v>
      </c>
      <c r="K230" s="2128">
        <f>K229</f>
        <v>0</v>
      </c>
      <c r="L230" s="2128">
        <f t="shared" si="126"/>
        <v>0</v>
      </c>
      <c r="M230" s="2128">
        <f t="shared" si="126"/>
        <v>0</v>
      </c>
      <c r="N230" s="2129">
        <f t="shared" si="126"/>
        <v>0</v>
      </c>
    </row>
    <row r="231" spans="1:14" ht="15" customHeight="1">
      <c r="A231" s="3025"/>
      <c r="B231" s="3026"/>
      <c r="C231" s="2375" t="s">
        <v>2666</v>
      </c>
      <c r="D231" s="2377"/>
      <c r="E231" s="2141">
        <f>IF(E228="無し",0,0.0004)</f>
        <v>4.0000000000000002E-4</v>
      </c>
      <c r="F231" s="2128">
        <f t="shared" ref="F231:N231" si="127">F229</f>
        <v>0</v>
      </c>
      <c r="G231" s="2128">
        <f t="shared" si="127"/>
        <v>0</v>
      </c>
      <c r="H231" s="2128">
        <f t="shared" si="127"/>
        <v>0</v>
      </c>
      <c r="I231" s="2128">
        <f t="shared" si="127"/>
        <v>0</v>
      </c>
      <c r="J231" s="2128">
        <f>J229</f>
        <v>0</v>
      </c>
      <c r="K231" s="2128">
        <f>K229</f>
        <v>0</v>
      </c>
      <c r="L231" s="2128">
        <f t="shared" si="127"/>
        <v>0</v>
      </c>
      <c r="M231" s="2128">
        <f t="shared" si="127"/>
        <v>0</v>
      </c>
      <c r="N231" s="2129">
        <f t="shared" si="127"/>
        <v>0</v>
      </c>
    </row>
    <row r="232" spans="1:14" ht="15" customHeight="1">
      <c r="A232" s="3025"/>
      <c r="B232" s="3027" t="s">
        <v>2800</v>
      </c>
      <c r="C232" s="2375"/>
      <c r="D232" s="2378"/>
      <c r="E232" s="2378"/>
      <c r="F232" s="2268"/>
      <c r="G232" s="2137"/>
      <c r="H232" s="2137"/>
      <c r="I232" s="2137"/>
      <c r="J232" s="2137"/>
      <c r="K232" s="2137"/>
      <c r="L232" s="2137"/>
      <c r="M232" s="2137"/>
      <c r="N232" s="2138"/>
    </row>
    <row r="233" spans="1:14" ht="15" customHeight="1">
      <c r="A233" s="3025"/>
      <c r="B233" s="3028"/>
      <c r="C233" s="2379" t="s">
        <v>2909</v>
      </c>
      <c r="D233" s="2378"/>
      <c r="E233" s="2378"/>
      <c r="F233" s="2268">
        <f>SUM(G233:N233)</f>
        <v>0</v>
      </c>
      <c r="G233" s="2137">
        <f t="shared" ref="G233:N233" si="128">+SUM(G182:G190,G202:G210)</f>
        <v>0</v>
      </c>
      <c r="H233" s="2137">
        <f t="shared" si="128"/>
        <v>0</v>
      </c>
      <c r="I233" s="2137">
        <f t="shared" si="128"/>
        <v>0</v>
      </c>
      <c r="J233" s="2137">
        <f>+SUM(J182:J190,J202:J210)</f>
        <v>0</v>
      </c>
      <c r="K233" s="2137">
        <f>+SUM(K182:K190,K202:K210)</f>
        <v>0</v>
      </c>
      <c r="L233" s="2137">
        <f t="shared" si="128"/>
        <v>0</v>
      </c>
      <c r="M233" s="2137">
        <f t="shared" si="128"/>
        <v>0</v>
      </c>
      <c r="N233" s="2138">
        <f t="shared" si="128"/>
        <v>0</v>
      </c>
    </row>
    <row r="234" spans="1:14" ht="15" customHeight="1">
      <c r="A234" s="3025"/>
      <c r="B234" s="3026" t="s">
        <v>2667</v>
      </c>
      <c r="C234" s="2380" t="s">
        <v>2802</v>
      </c>
      <c r="D234" s="2381"/>
      <c r="E234" s="2317">
        <v>0</v>
      </c>
      <c r="F234" s="2268">
        <f>SUM(G234:N234)</f>
        <v>0</v>
      </c>
      <c r="G234" s="2137">
        <f t="shared" ref="G234:N234" si="129">+G142</f>
        <v>0</v>
      </c>
      <c r="H234" s="2137">
        <f t="shared" si="129"/>
        <v>0</v>
      </c>
      <c r="I234" s="2137">
        <f t="shared" si="129"/>
        <v>0</v>
      </c>
      <c r="J234" s="2137">
        <f>+J142</f>
        <v>0</v>
      </c>
      <c r="K234" s="2137">
        <f>+K142</f>
        <v>0</v>
      </c>
      <c r="L234" s="2137">
        <f t="shared" si="129"/>
        <v>0</v>
      </c>
      <c r="M234" s="2137">
        <f t="shared" si="129"/>
        <v>0</v>
      </c>
      <c r="N234" s="2138">
        <f t="shared" si="129"/>
        <v>0</v>
      </c>
    </row>
    <row r="235" spans="1:14" ht="15" customHeight="1">
      <c r="A235" s="3025"/>
      <c r="B235" s="3026"/>
      <c r="C235" s="2362"/>
      <c r="D235" s="2382"/>
      <c r="E235" s="2317"/>
      <c r="F235" s="2268"/>
      <c r="G235" s="2137"/>
      <c r="H235" s="2137"/>
      <c r="I235" s="2137"/>
      <c r="J235" s="2137"/>
      <c r="K235" s="2137"/>
      <c r="L235" s="2137"/>
      <c r="M235" s="2137"/>
      <c r="N235" s="2138"/>
    </row>
    <row r="236" spans="1:14" ht="15" customHeight="1">
      <c r="A236" s="3025"/>
      <c r="B236" s="3027"/>
      <c r="C236" s="2383"/>
      <c r="D236" s="2384"/>
      <c r="E236" s="2385"/>
      <c r="F236" s="2277"/>
      <c r="G236" s="2278"/>
      <c r="H236" s="2278"/>
      <c r="I236" s="2278"/>
      <c r="J236" s="2278"/>
      <c r="K236" s="2278"/>
      <c r="L236" s="2278"/>
      <c r="M236" s="2278"/>
      <c r="N236" s="2279"/>
    </row>
    <row r="237" spans="1:14" ht="15" customHeight="1">
      <c r="A237" s="1716"/>
      <c r="B237" s="1717"/>
      <c r="C237" s="2386"/>
      <c r="D237" s="2387"/>
      <c r="E237" s="2388"/>
      <c r="F237" s="2359"/>
      <c r="G237" s="2263"/>
      <c r="H237" s="2263"/>
      <c r="I237" s="2263"/>
      <c r="J237" s="2263"/>
      <c r="K237" s="2263"/>
      <c r="L237" s="2263"/>
      <c r="M237" s="2263"/>
      <c r="N237" s="2264"/>
    </row>
    <row r="238" spans="1:14" ht="15" customHeight="1">
      <c r="A238" s="3014" t="s">
        <v>2668</v>
      </c>
      <c r="B238" s="3014"/>
      <c r="C238" s="3029"/>
      <c r="D238" s="2389"/>
      <c r="E238" s="2390"/>
      <c r="F238" s="2277"/>
      <c r="G238" s="2278"/>
      <c r="H238" s="2278"/>
      <c r="I238" s="2278"/>
      <c r="J238" s="2278"/>
      <c r="K238" s="2278"/>
      <c r="L238" s="2278"/>
      <c r="M238" s="2278"/>
      <c r="N238" s="2279"/>
    </row>
    <row r="239" spans="1:14" ht="15" customHeight="1">
      <c r="A239" s="1728"/>
      <c r="B239" s="2391" t="s">
        <v>161</v>
      </c>
      <c r="C239" s="2392" t="s">
        <v>2910</v>
      </c>
      <c r="D239" s="2371"/>
      <c r="E239" s="2393">
        <f>+E229</f>
        <v>0.11259999999999999</v>
      </c>
      <c r="F239" s="2359">
        <f>INT(F229*E239)</f>
        <v>0</v>
      </c>
      <c r="G239" s="2263">
        <f>F239-SUM(H239:N239)</f>
        <v>0</v>
      </c>
      <c r="H239" s="2263">
        <f t="shared" ref="H239:N239" si="130">IF(H229=0,0,ROUND($F239/$F229*H229,0))</f>
        <v>0</v>
      </c>
      <c r="I239" s="2263">
        <f t="shared" si="130"/>
        <v>0</v>
      </c>
      <c r="J239" s="2263">
        <f t="shared" si="130"/>
        <v>0</v>
      </c>
      <c r="K239" s="2263">
        <f t="shared" si="130"/>
        <v>0</v>
      </c>
      <c r="L239" s="2263">
        <f t="shared" si="130"/>
        <v>0</v>
      </c>
      <c r="M239" s="2263">
        <f t="shared" si="130"/>
        <v>0</v>
      </c>
      <c r="N239" s="2264">
        <f t="shared" si="130"/>
        <v>0</v>
      </c>
    </row>
    <row r="240" spans="1:14" ht="15" customHeight="1">
      <c r="A240" s="1728"/>
      <c r="B240" s="3026" t="s">
        <v>2664</v>
      </c>
      <c r="C240" s="2375" t="s">
        <v>2665</v>
      </c>
      <c r="D240" s="2381"/>
      <c r="E240" s="2141">
        <f>+E230</f>
        <v>0</v>
      </c>
      <c r="F240" s="2268">
        <f>INT((F230*E239*E240)+(F243*E240))</f>
        <v>0</v>
      </c>
      <c r="G240" s="2137">
        <f>F240-SUM(H240:N240)</f>
        <v>0</v>
      </c>
      <c r="H240" s="2137">
        <f t="shared" ref="H240:N240" si="131">IF(H230+H243=0,0,ROUND($F240/$F230*H230,0))</f>
        <v>0</v>
      </c>
      <c r="I240" s="2137">
        <f t="shared" si="131"/>
        <v>0</v>
      </c>
      <c r="J240" s="2137">
        <f t="shared" si="131"/>
        <v>0</v>
      </c>
      <c r="K240" s="2137">
        <f t="shared" si="131"/>
        <v>0</v>
      </c>
      <c r="L240" s="2137">
        <f t="shared" si="131"/>
        <v>0</v>
      </c>
      <c r="M240" s="2137">
        <f t="shared" si="131"/>
        <v>0</v>
      </c>
      <c r="N240" s="2138">
        <f t="shared" si="131"/>
        <v>0</v>
      </c>
    </row>
    <row r="241" spans="1:14" ht="15" customHeight="1">
      <c r="A241" s="1728"/>
      <c r="B241" s="3026"/>
      <c r="C241" s="2375" t="s">
        <v>2666</v>
      </c>
      <c r="D241" s="2381"/>
      <c r="E241" s="2141">
        <f>+E231</f>
        <v>4.0000000000000002E-4</v>
      </c>
      <c r="F241" s="2268">
        <f>INT((F231*E241)+(F243*E241))</f>
        <v>0</v>
      </c>
      <c r="G241" s="2137">
        <f>F241-SUM(H241:N241)</f>
        <v>0</v>
      </c>
      <c r="H241" s="2137">
        <f t="shared" ref="H241:N241" si="132">IF(H231+H243=0,0,ROUND($F241/$F231*H231,0))</f>
        <v>0</v>
      </c>
      <c r="I241" s="2137">
        <f t="shared" si="132"/>
        <v>0</v>
      </c>
      <c r="J241" s="2137">
        <f t="shared" si="132"/>
        <v>0</v>
      </c>
      <c r="K241" s="2137">
        <f t="shared" si="132"/>
        <v>0</v>
      </c>
      <c r="L241" s="2137">
        <f t="shared" si="132"/>
        <v>0</v>
      </c>
      <c r="M241" s="2137">
        <f t="shared" si="132"/>
        <v>0</v>
      </c>
      <c r="N241" s="2138">
        <f t="shared" si="132"/>
        <v>0</v>
      </c>
    </row>
    <row r="242" spans="1:14" ht="15" customHeight="1">
      <c r="A242" s="1728"/>
      <c r="B242" s="3027" t="s">
        <v>2800</v>
      </c>
      <c r="C242" s="2375"/>
      <c r="D242" s="2378"/>
      <c r="E242" s="2394" t="s">
        <v>2804</v>
      </c>
      <c r="F242" s="2268"/>
      <c r="G242" s="2137"/>
      <c r="H242" s="2137"/>
      <c r="I242" s="2137"/>
      <c r="J242" s="2137"/>
      <c r="K242" s="2137"/>
      <c r="L242" s="2137"/>
      <c r="M242" s="2137"/>
      <c r="N242" s="2138"/>
    </row>
    <row r="243" spans="1:14" ht="15" customHeight="1">
      <c r="A243" s="1728"/>
      <c r="B243" s="3028"/>
      <c r="C243" s="2395" t="s">
        <v>2911</v>
      </c>
      <c r="D243" s="2378"/>
      <c r="E243" s="2378"/>
      <c r="F243" s="2085">
        <f>SUM(G243:N243)</f>
        <v>0</v>
      </c>
      <c r="G243" s="2068">
        <f t="shared" ref="G243:N243" si="133">SUM(G125:G132)-SUM(G183:G190)-SUM(G203:G210)</f>
        <v>0</v>
      </c>
      <c r="H243" s="2068">
        <f t="shared" si="133"/>
        <v>0</v>
      </c>
      <c r="I243" s="2068">
        <f t="shared" si="133"/>
        <v>0</v>
      </c>
      <c r="J243" s="2068">
        <f>SUM(J125:J132)-SUM(J183:J190)-SUM(J203:J210)</f>
        <v>0</v>
      </c>
      <c r="K243" s="2068">
        <f>SUM(K125:K132)-SUM(K183:K190)-SUM(K203:K210)</f>
        <v>0</v>
      </c>
      <c r="L243" s="2068">
        <f t="shared" si="133"/>
        <v>0</v>
      </c>
      <c r="M243" s="2068">
        <f t="shared" si="133"/>
        <v>0</v>
      </c>
      <c r="N243" s="2069">
        <f t="shared" si="133"/>
        <v>0</v>
      </c>
    </row>
    <row r="244" spans="1:14" ht="15" customHeight="1">
      <c r="A244" s="1728"/>
      <c r="B244" s="3026" t="s">
        <v>2667</v>
      </c>
      <c r="C244" s="2380" t="s">
        <v>2802</v>
      </c>
      <c r="D244" s="2381"/>
      <c r="E244" s="2141">
        <f>+E234</f>
        <v>0</v>
      </c>
      <c r="F244" s="2268">
        <f>SUM(G244:N244)</f>
        <v>0</v>
      </c>
      <c r="G244" s="2137">
        <f t="shared" ref="G244:N244" si="134">ROUNDDOWN($E244*$D244*G234,0)</f>
        <v>0</v>
      </c>
      <c r="H244" s="2137">
        <f t="shared" si="134"/>
        <v>0</v>
      </c>
      <c r="I244" s="2137">
        <f t="shared" si="134"/>
        <v>0</v>
      </c>
      <c r="J244" s="2137">
        <f>ROUNDDOWN($E244*$D244*J234,0)</f>
        <v>0</v>
      </c>
      <c r="K244" s="2137">
        <f>ROUNDDOWN($E244*$D244*K234,0)</f>
        <v>0</v>
      </c>
      <c r="L244" s="2137">
        <f t="shared" si="134"/>
        <v>0</v>
      </c>
      <c r="M244" s="2137">
        <f t="shared" si="134"/>
        <v>0</v>
      </c>
      <c r="N244" s="2138">
        <f t="shared" si="134"/>
        <v>0</v>
      </c>
    </row>
    <row r="245" spans="1:14" ht="15" customHeight="1">
      <c r="A245" s="1728"/>
      <c r="B245" s="3026"/>
      <c r="C245" s="2362"/>
      <c r="D245" s="2382"/>
      <c r="E245" s="2378">
        <f>+G236</f>
        <v>0</v>
      </c>
      <c r="F245" s="2268"/>
      <c r="G245" s="2137"/>
      <c r="H245" s="2137"/>
      <c r="I245" s="2137"/>
      <c r="J245" s="2137"/>
      <c r="K245" s="2137"/>
      <c r="L245" s="2137"/>
      <c r="M245" s="2137"/>
      <c r="N245" s="2138"/>
    </row>
    <row r="246" spans="1:14" ht="15" customHeight="1">
      <c r="A246" s="2342"/>
      <c r="B246" s="3049"/>
      <c r="C246" s="2365"/>
      <c r="D246" s="2384"/>
      <c r="E246" s="2390">
        <f>+G237</f>
        <v>0</v>
      </c>
      <c r="F246" s="2277"/>
      <c r="G246" s="2278"/>
      <c r="H246" s="2278"/>
      <c r="I246" s="2278"/>
      <c r="J246" s="2278"/>
      <c r="K246" s="2278"/>
      <c r="L246" s="2278"/>
      <c r="M246" s="2278"/>
      <c r="N246" s="2279"/>
    </row>
    <row r="247" spans="1:14" ht="15" customHeight="1">
      <c r="A247" s="2354"/>
      <c r="B247" s="2355"/>
      <c r="C247" s="2355"/>
      <c r="D247" s="2396"/>
      <c r="E247" s="2396"/>
      <c r="F247" s="2359"/>
      <c r="G247" s="2263"/>
      <c r="H247" s="2263"/>
      <c r="I247" s="2263"/>
      <c r="J247" s="2263"/>
      <c r="K247" s="2263"/>
      <c r="L247" s="2263"/>
      <c r="M247" s="2263"/>
      <c r="N247" s="2264"/>
    </row>
    <row r="248" spans="1:14" ht="15" customHeight="1">
      <c r="A248" s="2032"/>
      <c r="B248" s="2035"/>
      <c r="C248" s="2397" t="s">
        <v>2672</v>
      </c>
      <c r="D248" s="2362"/>
      <c r="E248" s="2375"/>
      <c r="F248" s="2268">
        <f>SUM(G248:N248)</f>
        <v>0</v>
      </c>
      <c r="G248" s="2137">
        <f t="shared" ref="G248:N248" si="135">SUM(G239:G246)</f>
        <v>0</v>
      </c>
      <c r="H248" s="2137">
        <f t="shared" si="135"/>
        <v>0</v>
      </c>
      <c r="I248" s="2137">
        <f t="shared" si="135"/>
        <v>0</v>
      </c>
      <c r="J248" s="2137">
        <f>SUM(J239:J246)</f>
        <v>0</v>
      </c>
      <c r="K248" s="2137">
        <f>SUM(K239:K246)</f>
        <v>0</v>
      </c>
      <c r="L248" s="2137">
        <f t="shared" si="135"/>
        <v>0</v>
      </c>
      <c r="M248" s="2137">
        <f t="shared" si="135"/>
        <v>0</v>
      </c>
      <c r="N248" s="2138">
        <f t="shared" si="135"/>
        <v>0</v>
      </c>
    </row>
    <row r="249" spans="1:14" ht="15" customHeight="1">
      <c r="A249" s="2032"/>
      <c r="B249" s="2035"/>
      <c r="C249" s="2397" t="s">
        <v>2653</v>
      </c>
      <c r="D249" s="2362"/>
      <c r="E249" s="2375"/>
      <c r="F249" s="2268">
        <f>SUM(G249:N249)</f>
        <v>0</v>
      </c>
      <c r="G249" s="2137">
        <f t="shared" ref="G249:N249" si="136">+G224</f>
        <v>0</v>
      </c>
      <c r="H249" s="2137">
        <f t="shared" si="136"/>
        <v>0</v>
      </c>
      <c r="I249" s="2137">
        <f t="shared" si="136"/>
        <v>0</v>
      </c>
      <c r="J249" s="2137">
        <f>+J224</f>
        <v>0</v>
      </c>
      <c r="K249" s="2137">
        <f>+K224</f>
        <v>0</v>
      </c>
      <c r="L249" s="2137">
        <f t="shared" si="136"/>
        <v>0</v>
      </c>
      <c r="M249" s="2137">
        <f t="shared" si="136"/>
        <v>0</v>
      </c>
      <c r="N249" s="2138">
        <f t="shared" si="136"/>
        <v>0</v>
      </c>
    </row>
    <row r="250" spans="1:14" ht="15" customHeight="1" thickBot="1">
      <c r="A250" s="2398"/>
      <c r="B250" s="2399"/>
      <c r="C250" s="2400" t="s">
        <v>2673</v>
      </c>
      <c r="D250" s="2401"/>
      <c r="E250" s="2402"/>
      <c r="F250" s="2332">
        <f>SUM(G250:N250)</f>
        <v>0</v>
      </c>
      <c r="G250" s="2333">
        <f t="shared" ref="G250:N250" si="137">SUM(G248:G249)</f>
        <v>0</v>
      </c>
      <c r="H250" s="2333">
        <f t="shared" si="137"/>
        <v>0</v>
      </c>
      <c r="I250" s="2333">
        <f t="shared" si="137"/>
        <v>0</v>
      </c>
      <c r="J250" s="2333">
        <f>SUM(J248:J249)</f>
        <v>0</v>
      </c>
      <c r="K250" s="2333">
        <f>SUM(K248:K249)</f>
        <v>0</v>
      </c>
      <c r="L250" s="2333">
        <f t="shared" si="137"/>
        <v>0</v>
      </c>
      <c r="M250" s="2333">
        <f t="shared" si="137"/>
        <v>0</v>
      </c>
      <c r="N250" s="2334">
        <f t="shared" si="137"/>
        <v>0</v>
      </c>
    </row>
    <row r="251" spans="1:14" ht="15" customHeight="1" thickTop="1">
      <c r="A251" s="1728"/>
      <c r="B251" s="1705"/>
      <c r="C251" s="1705"/>
      <c r="D251" s="2403"/>
      <c r="E251" s="2403"/>
      <c r="F251" s="2404"/>
      <c r="G251" s="2405"/>
      <c r="H251" s="2405"/>
      <c r="I251" s="2405"/>
      <c r="J251" s="2405"/>
      <c r="K251" s="2405"/>
      <c r="L251" s="2405"/>
      <c r="M251" s="2405"/>
      <c r="N251" s="2406"/>
    </row>
    <row r="252" spans="1:14" ht="15" customHeight="1">
      <c r="A252" s="2032"/>
      <c r="B252" s="2035"/>
      <c r="C252" s="2397" t="s">
        <v>2653</v>
      </c>
      <c r="D252" s="2362"/>
      <c r="E252" s="2375"/>
      <c r="F252" s="2268">
        <f>SUM(G252:N252)</f>
        <v>0</v>
      </c>
      <c r="G252" s="2137">
        <f t="shared" ref="G252:N252" si="138">+G249</f>
        <v>0</v>
      </c>
      <c r="H252" s="2137">
        <f t="shared" si="138"/>
        <v>0</v>
      </c>
      <c r="I252" s="2137">
        <f t="shared" si="138"/>
        <v>0</v>
      </c>
      <c r="J252" s="2137">
        <f>+J249</f>
        <v>0</v>
      </c>
      <c r="K252" s="2137">
        <f>+K249</f>
        <v>0</v>
      </c>
      <c r="L252" s="2137">
        <f t="shared" si="138"/>
        <v>0</v>
      </c>
      <c r="M252" s="2137">
        <f t="shared" si="138"/>
        <v>0</v>
      </c>
      <c r="N252" s="2138">
        <f t="shared" si="138"/>
        <v>0</v>
      </c>
    </row>
    <row r="253" spans="1:14" ht="15" customHeight="1">
      <c r="A253" s="2032"/>
      <c r="B253" s="2035"/>
      <c r="C253" s="2397" t="s">
        <v>2674</v>
      </c>
      <c r="D253" s="2362"/>
      <c r="E253" s="2375"/>
      <c r="F253" s="2268">
        <f>SUM(G253:N253)</f>
        <v>0</v>
      </c>
      <c r="G253" s="2137">
        <f t="shared" ref="G253:N253" si="139">+G248-(G250-G255)</f>
        <v>0</v>
      </c>
      <c r="H253" s="2137">
        <f t="shared" si="139"/>
        <v>0</v>
      </c>
      <c r="I253" s="2137">
        <f t="shared" si="139"/>
        <v>0</v>
      </c>
      <c r="J253" s="2137">
        <f>+J248-(J250-J255)</f>
        <v>0</v>
      </c>
      <c r="K253" s="2137">
        <f>+K248-(K250-K255)</f>
        <v>0</v>
      </c>
      <c r="L253" s="2137">
        <f t="shared" si="139"/>
        <v>0</v>
      </c>
      <c r="M253" s="2137">
        <f t="shared" si="139"/>
        <v>0</v>
      </c>
      <c r="N253" s="2138">
        <f t="shared" si="139"/>
        <v>0</v>
      </c>
    </row>
    <row r="254" spans="1:14" ht="15" customHeight="1">
      <c r="A254" s="2032"/>
      <c r="B254" s="2035"/>
      <c r="C254" s="2035"/>
      <c r="D254" s="2375"/>
      <c r="E254" s="2407">
        <f>F256+SUM(H255:N255)</f>
        <v>0</v>
      </c>
      <c r="F254" s="2268" t="s">
        <v>2675</v>
      </c>
      <c r="G254" s="2137">
        <f t="shared" ref="G254:N254" si="140">+G248-G253</f>
        <v>0</v>
      </c>
      <c r="H254" s="2137">
        <f t="shared" si="140"/>
        <v>0</v>
      </c>
      <c r="I254" s="2137">
        <f t="shared" si="140"/>
        <v>0</v>
      </c>
      <c r="J254" s="2137">
        <f>+J248-J253</f>
        <v>0</v>
      </c>
      <c r="K254" s="2137">
        <f>+K248-K253</f>
        <v>0</v>
      </c>
      <c r="L254" s="2137">
        <f t="shared" si="140"/>
        <v>0</v>
      </c>
      <c r="M254" s="2137">
        <f t="shared" si="140"/>
        <v>0</v>
      </c>
      <c r="N254" s="2138">
        <f t="shared" si="140"/>
        <v>0</v>
      </c>
    </row>
    <row r="255" spans="1:14" ht="15" customHeight="1">
      <c r="A255" s="2408"/>
      <c r="B255" s="2033"/>
      <c r="C255" s="2033" t="s">
        <v>2676</v>
      </c>
      <c r="D255" s="2409"/>
      <c r="E255" s="2407">
        <f>ROUNDDOWN(E254,4-LEN(E254))</f>
        <v>0</v>
      </c>
      <c r="F255" s="2410">
        <f>SUM(G255:N255)</f>
        <v>0</v>
      </c>
      <c r="G255" s="2411">
        <f>F256-E256</f>
        <v>0</v>
      </c>
      <c r="H255" s="2411">
        <f t="shared" ref="H255:N255" si="141">ROUNDDOWN(H250,H256)</f>
        <v>0</v>
      </c>
      <c r="I255" s="2411">
        <f t="shared" si="141"/>
        <v>0</v>
      </c>
      <c r="J255" s="2411">
        <f t="shared" si="141"/>
        <v>0</v>
      </c>
      <c r="K255" s="2411">
        <f t="shared" si="141"/>
        <v>0</v>
      </c>
      <c r="L255" s="2411">
        <f t="shared" si="141"/>
        <v>0</v>
      </c>
      <c r="M255" s="2411">
        <f t="shared" si="141"/>
        <v>0</v>
      </c>
      <c r="N255" s="2412">
        <f t="shared" si="141"/>
        <v>0</v>
      </c>
    </row>
    <row r="256" spans="1:14" ht="13.5" customHeight="1">
      <c r="A256" s="2413"/>
      <c r="B256" s="2414"/>
      <c r="C256" s="2414"/>
      <c r="D256" s="2415"/>
      <c r="E256" s="2416">
        <f>E254-E255</f>
        <v>0</v>
      </c>
      <c r="F256" s="2416">
        <f>ROUNDDOWN(G250,G256)</f>
        <v>0</v>
      </c>
      <c r="G256" s="2417">
        <f t="shared" ref="G256:N256" si="142">IF(LEN(G250)&lt;=7,-3,IF(LEN(G250)=8,-4,IF(LEN(G250)&gt;=9,-5,-6)))</f>
        <v>-3</v>
      </c>
      <c r="H256" s="2417">
        <f t="shared" si="142"/>
        <v>-3</v>
      </c>
      <c r="I256" s="2417">
        <f t="shared" si="142"/>
        <v>-3</v>
      </c>
      <c r="J256" s="2417">
        <f>IF(LEN(J250)&lt;=7,-3,IF(LEN(J250)=8,-4,IF(LEN(J250)&gt;=9,-5,-6)))</f>
        <v>-3</v>
      </c>
      <c r="K256" s="2417">
        <f>IF(LEN(K250)&lt;=7,-3,IF(LEN(K250)=8,-4,IF(LEN(K250)&gt;=9,-5,-6)))</f>
        <v>-3</v>
      </c>
      <c r="L256" s="2417">
        <f t="shared" si="142"/>
        <v>-3</v>
      </c>
      <c r="M256" s="2417">
        <f t="shared" si="142"/>
        <v>-3</v>
      </c>
      <c r="N256" s="2418">
        <f t="shared" si="142"/>
        <v>-3</v>
      </c>
    </row>
    <row r="257" spans="1:16" ht="13.5" hidden="1" customHeight="1" thickBot="1">
      <c r="A257" s="2419"/>
      <c r="B257" s="2419"/>
      <c r="C257" s="2419"/>
      <c r="D257" s="2419"/>
      <c r="E257" s="2420"/>
      <c r="F257" s="2420"/>
      <c r="G257" s="2421"/>
      <c r="H257" s="2421"/>
      <c r="I257" s="2421"/>
      <c r="J257" s="2421"/>
      <c r="K257" s="2421"/>
      <c r="L257" s="2421"/>
      <c r="M257" s="2421"/>
      <c r="N257" s="2421"/>
    </row>
    <row r="258" spans="1:16" ht="13.5" hidden="1" customHeight="1">
      <c r="A258" s="2422"/>
      <c r="B258" s="2423"/>
      <c r="C258" s="2424" t="s">
        <v>2677</v>
      </c>
      <c r="D258" s="2425"/>
      <c r="E258" s="2423"/>
      <c r="F258" s="2426" t="s">
        <v>2678</v>
      </c>
      <c r="G258" s="2427">
        <f t="shared" ref="G258:N258" si="143">G87</f>
        <v>0</v>
      </c>
      <c r="H258" s="2427">
        <f t="shared" si="143"/>
        <v>0</v>
      </c>
      <c r="I258" s="2427">
        <f t="shared" si="143"/>
        <v>0</v>
      </c>
      <c r="J258" s="2427">
        <f>J87</f>
        <v>0</v>
      </c>
      <c r="K258" s="2427">
        <f>K87</f>
        <v>0</v>
      </c>
      <c r="L258" s="2427">
        <f t="shared" si="143"/>
        <v>0</v>
      </c>
      <c r="M258" s="2427">
        <f t="shared" si="143"/>
        <v>0</v>
      </c>
      <c r="N258" s="2428">
        <f t="shared" si="143"/>
        <v>0</v>
      </c>
      <c r="O258" s="2429"/>
      <c r="P258" s="2429"/>
    </row>
    <row r="259" spans="1:16" ht="13.5" hidden="1" customHeight="1">
      <c r="A259" s="3050"/>
      <c r="B259" s="3053" t="s">
        <v>2679</v>
      </c>
      <c r="C259" s="2430" t="s">
        <v>2680</v>
      </c>
      <c r="D259" s="2065"/>
      <c r="E259" s="2431"/>
      <c r="F259" s="2432" t="s">
        <v>2912</v>
      </c>
      <c r="G259" s="2433">
        <f t="shared" ref="G259:N259" si="144">IF($F$147&lt;=10000000,ROUND(7.56*(10000^-0.1105)*(G258^0.2389),2),ROUND(7.56*(($F$147/1000)^-0.1105)*(G258^0.2389),2))</f>
        <v>0</v>
      </c>
      <c r="H259" s="2433">
        <f t="shared" si="144"/>
        <v>0</v>
      </c>
      <c r="I259" s="2433">
        <f t="shared" si="144"/>
        <v>0</v>
      </c>
      <c r="J259" s="2433">
        <f>IF($F$147&lt;=10000000,ROUND(7.56*(10000^-0.1105)*(J258^0.2389),2),ROUND(7.56*(($F$147/1000)^-0.1105)*(J258^0.2389),2))</f>
        <v>0</v>
      </c>
      <c r="K259" s="2433">
        <f>IF($F$147&lt;=10000000,ROUND(7.56*(10000^-0.1105)*(K258^0.2389),2),ROUND(7.56*(($F$147/1000)^-0.1105)*(K258^0.2389),2))</f>
        <v>0</v>
      </c>
      <c r="L259" s="2433">
        <f t="shared" si="144"/>
        <v>0</v>
      </c>
      <c r="M259" s="2433">
        <f t="shared" si="144"/>
        <v>0</v>
      </c>
      <c r="N259" s="2434">
        <f t="shared" si="144"/>
        <v>0</v>
      </c>
      <c r="O259" s="2435"/>
      <c r="P259" s="2435"/>
    </row>
    <row r="260" spans="1:16" ht="13.5" hidden="1" customHeight="1">
      <c r="A260" s="3051"/>
      <c r="B260" s="3054"/>
      <c r="C260" s="3056" t="s">
        <v>2682</v>
      </c>
      <c r="D260" s="2436"/>
      <c r="E260" s="2437"/>
      <c r="F260" s="2432" t="s">
        <v>2683</v>
      </c>
      <c r="G260" s="2438">
        <f t="shared" ref="G260:N260" si="145">IF($F$147&lt;=10000000,ROUND(4.33,2),0)</f>
        <v>4.33</v>
      </c>
      <c r="H260" s="2438">
        <f t="shared" si="145"/>
        <v>4.33</v>
      </c>
      <c r="I260" s="2438">
        <f t="shared" si="145"/>
        <v>4.33</v>
      </c>
      <c r="J260" s="2438">
        <f t="shared" si="145"/>
        <v>4.33</v>
      </c>
      <c r="K260" s="2438">
        <f t="shared" si="145"/>
        <v>4.33</v>
      </c>
      <c r="L260" s="2438">
        <f t="shared" si="145"/>
        <v>4.33</v>
      </c>
      <c r="M260" s="2438">
        <f t="shared" si="145"/>
        <v>4.33</v>
      </c>
      <c r="N260" s="2439">
        <f t="shared" si="145"/>
        <v>4.33</v>
      </c>
      <c r="O260" s="2440"/>
      <c r="P260" s="2440"/>
    </row>
    <row r="261" spans="1:16" ht="13.5" hidden="1" customHeight="1">
      <c r="A261" s="3051"/>
      <c r="B261" s="3054"/>
      <c r="C261" s="3057"/>
      <c r="D261" s="2441"/>
      <c r="E261" s="2442"/>
      <c r="F261" s="2432" t="s">
        <v>2684</v>
      </c>
      <c r="G261" s="2438">
        <f t="shared" ref="G261:N261" si="146">IF($F$147&lt;=10000000,ROUND(3.25,2),0)</f>
        <v>3.25</v>
      </c>
      <c r="H261" s="2438">
        <f t="shared" si="146"/>
        <v>3.25</v>
      </c>
      <c r="I261" s="2438">
        <f t="shared" si="146"/>
        <v>3.25</v>
      </c>
      <c r="J261" s="2438">
        <f t="shared" si="146"/>
        <v>3.25</v>
      </c>
      <c r="K261" s="2438">
        <f t="shared" si="146"/>
        <v>3.25</v>
      </c>
      <c r="L261" s="2438">
        <f t="shared" si="146"/>
        <v>3.25</v>
      </c>
      <c r="M261" s="2438">
        <f t="shared" si="146"/>
        <v>3.25</v>
      </c>
      <c r="N261" s="2439">
        <f t="shared" si="146"/>
        <v>3.25</v>
      </c>
      <c r="O261" s="2440"/>
      <c r="P261" s="2440"/>
    </row>
    <row r="262" spans="1:16" ht="13.5" hidden="1" customHeight="1">
      <c r="A262" s="3051"/>
      <c r="B262" s="3054"/>
      <c r="C262" s="3056" t="s">
        <v>2685</v>
      </c>
      <c r="D262" s="2436"/>
      <c r="E262" s="2437"/>
      <c r="F262" s="2432" t="s">
        <v>2683</v>
      </c>
      <c r="G262" s="2443">
        <f t="shared" ref="G262:N262" si="147">IF($F$147&gt;10000000,ROUND(5.78*($F$147/1000)^-0.0313,2),0)</f>
        <v>0</v>
      </c>
      <c r="H262" s="2443">
        <f t="shared" si="147"/>
        <v>0</v>
      </c>
      <c r="I262" s="2443">
        <f t="shared" si="147"/>
        <v>0</v>
      </c>
      <c r="J262" s="2443">
        <f t="shared" si="147"/>
        <v>0</v>
      </c>
      <c r="K262" s="2443">
        <f t="shared" si="147"/>
        <v>0</v>
      </c>
      <c r="L262" s="2443">
        <f t="shared" si="147"/>
        <v>0</v>
      </c>
      <c r="M262" s="2443">
        <f t="shared" si="147"/>
        <v>0</v>
      </c>
      <c r="N262" s="2444">
        <f t="shared" si="147"/>
        <v>0</v>
      </c>
      <c r="O262" s="2445"/>
      <c r="P262" s="2445"/>
    </row>
    <row r="263" spans="1:16" ht="13.5" hidden="1" customHeight="1">
      <c r="A263" s="3052"/>
      <c r="B263" s="3055"/>
      <c r="C263" s="3057"/>
      <c r="D263" s="2441"/>
      <c r="E263" s="2442"/>
      <c r="F263" s="2432" t="s">
        <v>2684</v>
      </c>
      <c r="G263" s="2443">
        <f t="shared" ref="G263:N263" si="148">IF($F$147&gt;10000000,ROUND(4.34*($F$147/1000)^-0.0313,2),0)</f>
        <v>0</v>
      </c>
      <c r="H263" s="2443">
        <f t="shared" si="148"/>
        <v>0</v>
      </c>
      <c r="I263" s="2443">
        <f t="shared" si="148"/>
        <v>0</v>
      </c>
      <c r="J263" s="2443">
        <f t="shared" si="148"/>
        <v>0</v>
      </c>
      <c r="K263" s="2443">
        <f t="shared" si="148"/>
        <v>0</v>
      </c>
      <c r="L263" s="2443">
        <f t="shared" si="148"/>
        <v>0</v>
      </c>
      <c r="M263" s="2443">
        <f t="shared" si="148"/>
        <v>0</v>
      </c>
      <c r="N263" s="2444">
        <f t="shared" si="148"/>
        <v>0</v>
      </c>
      <c r="O263" s="2445"/>
      <c r="P263" s="2445"/>
    </row>
    <row r="264" spans="1:16" ht="13.5" hidden="1" customHeight="1">
      <c r="A264" s="3035" t="s">
        <v>2686</v>
      </c>
      <c r="B264" s="3036"/>
      <c r="C264" s="3036"/>
      <c r="D264" s="3036"/>
      <c r="E264" s="3036"/>
      <c r="F264" s="3037"/>
      <c r="G264" s="2446">
        <f t="shared" ref="G264:N264" si="149">IF($F$147&lt;=10000000,IF(G$259&gt;G$260,G$260,IF(G$259&lt;G$261,G$261,G$259)),IF(G$259&gt;G$262,G$262,IF(G$259&lt;G$263,G$263,G$259)))</f>
        <v>3.25</v>
      </c>
      <c r="H264" s="2446">
        <f t="shared" si="149"/>
        <v>3.25</v>
      </c>
      <c r="I264" s="2446">
        <f t="shared" si="149"/>
        <v>3.25</v>
      </c>
      <c r="J264" s="2446">
        <f t="shared" si="149"/>
        <v>3.25</v>
      </c>
      <c r="K264" s="2446">
        <f t="shared" si="149"/>
        <v>3.25</v>
      </c>
      <c r="L264" s="2446">
        <f t="shared" si="149"/>
        <v>3.25</v>
      </c>
      <c r="M264" s="2446">
        <f t="shared" si="149"/>
        <v>3.25</v>
      </c>
      <c r="N264" s="2447">
        <f t="shared" si="149"/>
        <v>3.25</v>
      </c>
      <c r="O264" s="2445"/>
      <c r="P264" s="2445"/>
    </row>
    <row r="265" spans="1:16" ht="13.5" hidden="1" customHeight="1" thickBot="1">
      <c r="A265" s="3038" t="s">
        <v>2687</v>
      </c>
      <c r="B265" s="3039"/>
      <c r="C265" s="3039"/>
      <c r="D265" s="3039"/>
      <c r="E265" s="3039"/>
      <c r="F265" s="3040"/>
      <c r="G265" s="2448">
        <f t="shared" ref="G265:N265" si="150">ROUND(G264*IF(AND(G92="駅施設",G93="無し"),0.7,IF(AND(G92="駅施設",G93="有り"),0.7,IF(AND(G92="地上建物",G93="無し"),0.9,IF(AND(G92="地上建物",G93="有り"),1,0)))),2)</f>
        <v>2.2799999999999998</v>
      </c>
      <c r="H265" s="2448">
        <f t="shared" si="150"/>
        <v>0</v>
      </c>
      <c r="I265" s="2448">
        <f t="shared" si="150"/>
        <v>0</v>
      </c>
      <c r="J265" s="2448">
        <f>ROUND(J264*IF(AND(J92="駅施設",J93="無し"),0.7,IF(AND(J92="駅施設",J93="有り"),0.7,IF(AND(J92="地上建物",J93="無し"),0.9,IF(AND(J92="地上建物",J93="有り"),1,0)))),2)</f>
        <v>0</v>
      </c>
      <c r="K265" s="2448">
        <f>ROUND(K264*IF(AND(K92="駅施設",K93="無し"),0.7,IF(AND(K92="駅施設",K93="有り"),0.7,IF(AND(K92="地上建物",K93="無し"),0.9,IF(AND(K92="地上建物",K93="有り"),1,0)))),2)</f>
        <v>0</v>
      </c>
      <c r="L265" s="2448">
        <f t="shared" si="150"/>
        <v>0</v>
      </c>
      <c r="M265" s="2448">
        <f t="shared" si="150"/>
        <v>0</v>
      </c>
      <c r="N265" s="2449">
        <f t="shared" si="150"/>
        <v>0</v>
      </c>
      <c r="O265" s="2445"/>
      <c r="P265" s="2445"/>
    </row>
    <row r="266" spans="1:16" ht="13.5" hidden="1" customHeight="1" thickBot="1">
      <c r="A266" s="2450"/>
      <c r="B266" s="2451"/>
      <c r="C266" s="2451"/>
      <c r="D266" s="2451"/>
      <c r="E266" s="2451"/>
      <c r="F266" s="2451"/>
      <c r="G266" s="2452"/>
      <c r="H266" s="2452"/>
      <c r="I266" s="2452"/>
      <c r="J266" s="2452"/>
      <c r="K266" s="2452"/>
      <c r="L266" s="2452"/>
      <c r="M266" s="2452"/>
      <c r="N266" s="2452"/>
      <c r="O266" s="2445"/>
      <c r="P266" s="2445"/>
    </row>
    <row r="267" spans="1:16" ht="13.5" hidden="1" customHeight="1">
      <c r="A267" s="2453"/>
      <c r="B267" s="2454"/>
      <c r="C267" s="2455" t="s">
        <v>2677</v>
      </c>
      <c r="D267" s="2456"/>
      <c r="E267" s="2454"/>
      <c r="F267" s="2457" t="s">
        <v>2678</v>
      </c>
      <c r="G267" s="2427">
        <f t="shared" ref="G267:N267" si="151">G87</f>
        <v>0</v>
      </c>
      <c r="H267" s="2427">
        <f t="shared" si="151"/>
        <v>0</v>
      </c>
      <c r="I267" s="2427">
        <f t="shared" si="151"/>
        <v>0</v>
      </c>
      <c r="J267" s="2427">
        <f>J87</f>
        <v>0</v>
      </c>
      <c r="K267" s="2427">
        <f>K87</f>
        <v>0</v>
      </c>
      <c r="L267" s="2427">
        <f t="shared" si="151"/>
        <v>0</v>
      </c>
      <c r="M267" s="2427">
        <f t="shared" si="151"/>
        <v>0</v>
      </c>
      <c r="N267" s="2428">
        <f t="shared" si="151"/>
        <v>0</v>
      </c>
      <c r="O267" s="2429"/>
      <c r="P267" s="2429"/>
    </row>
    <row r="268" spans="1:16" ht="13.5" hidden="1" customHeight="1">
      <c r="A268" s="3041"/>
      <c r="B268" s="3044" t="s">
        <v>2688</v>
      </c>
      <c r="C268" s="2458" t="s">
        <v>2680</v>
      </c>
      <c r="D268" s="2033"/>
      <c r="E268" s="2459"/>
      <c r="F268" s="1981" t="s">
        <v>2689</v>
      </c>
      <c r="G268" s="2433">
        <f t="shared" ref="G268:N268" si="152">IF($F$147&lt;=5000000,ROUND(18.03*(5000^-0.2027)*(G267^0.4017),2),ROUND(18.03*(($F$147/1000)^-0.2027)*(G267^0.4017),2))</f>
        <v>0</v>
      </c>
      <c r="H268" s="2433">
        <f t="shared" si="152"/>
        <v>0</v>
      </c>
      <c r="I268" s="2433">
        <f t="shared" si="152"/>
        <v>0</v>
      </c>
      <c r="J268" s="2433">
        <f>IF($F$147&lt;=5000000,ROUND(18.03*(5000^-0.2027)*(J267^0.4017),2),ROUND(18.03*(($F$147/1000)^-0.2027)*(J267^0.4017),2))</f>
        <v>0</v>
      </c>
      <c r="K268" s="2433">
        <f>IF($F$147&lt;=5000000,ROUND(18.03*(5000^-0.2027)*(K267^0.4017),2),ROUND(18.03*(($F$147/1000)^-0.2027)*(K267^0.4017),2))</f>
        <v>0</v>
      </c>
      <c r="L268" s="2433">
        <f t="shared" si="152"/>
        <v>0</v>
      </c>
      <c r="M268" s="2433">
        <f t="shared" si="152"/>
        <v>0</v>
      </c>
      <c r="N268" s="2434">
        <f t="shared" si="152"/>
        <v>0</v>
      </c>
      <c r="O268" s="2435"/>
      <c r="P268" s="2435"/>
    </row>
    <row r="269" spans="1:16" ht="13.5" hidden="1" customHeight="1">
      <c r="A269" s="3042"/>
      <c r="B269" s="3045"/>
      <c r="C269" s="3047" t="s">
        <v>2690</v>
      </c>
      <c r="D269" s="2042"/>
      <c r="E269" s="2460"/>
      <c r="F269" s="1981" t="s">
        <v>2683</v>
      </c>
      <c r="G269" s="2461">
        <f t="shared" ref="G269:N269" si="153">IF($F$147&lt;=5000000,ROUND(6.07,2),0)</f>
        <v>6.07</v>
      </c>
      <c r="H269" s="2461">
        <f t="shared" si="153"/>
        <v>6.07</v>
      </c>
      <c r="I269" s="2461">
        <f t="shared" si="153"/>
        <v>6.07</v>
      </c>
      <c r="J269" s="2461">
        <f t="shared" si="153"/>
        <v>6.07</v>
      </c>
      <c r="K269" s="2461">
        <f t="shared" si="153"/>
        <v>6.07</v>
      </c>
      <c r="L269" s="2461">
        <f t="shared" si="153"/>
        <v>6.07</v>
      </c>
      <c r="M269" s="2461">
        <f t="shared" si="153"/>
        <v>6.07</v>
      </c>
      <c r="N269" s="2462">
        <f t="shared" si="153"/>
        <v>6.07</v>
      </c>
      <c r="O269" s="2440"/>
      <c r="P269" s="2440"/>
    </row>
    <row r="270" spans="1:16" ht="13.5" hidden="1" customHeight="1">
      <c r="A270" s="3042"/>
      <c r="B270" s="3045"/>
      <c r="C270" s="3048"/>
      <c r="D270" s="2463"/>
      <c r="E270" s="2464"/>
      <c r="F270" s="1981" t="s">
        <v>2684</v>
      </c>
      <c r="G270" s="2461">
        <f t="shared" ref="G270:N270" si="154">IF($F$147&lt;=5000000,ROUND(3.59,2),0)</f>
        <v>3.59</v>
      </c>
      <c r="H270" s="2461">
        <f t="shared" si="154"/>
        <v>3.59</v>
      </c>
      <c r="I270" s="2461">
        <f t="shared" si="154"/>
        <v>3.59</v>
      </c>
      <c r="J270" s="2461">
        <f t="shared" si="154"/>
        <v>3.59</v>
      </c>
      <c r="K270" s="2461">
        <f t="shared" si="154"/>
        <v>3.59</v>
      </c>
      <c r="L270" s="2461">
        <f t="shared" si="154"/>
        <v>3.59</v>
      </c>
      <c r="M270" s="2461">
        <f t="shared" si="154"/>
        <v>3.59</v>
      </c>
      <c r="N270" s="2462">
        <f t="shared" si="154"/>
        <v>3.59</v>
      </c>
      <c r="O270" s="2440"/>
      <c r="P270" s="2440"/>
    </row>
    <row r="271" spans="1:16" ht="13.5" hidden="1" customHeight="1">
      <c r="A271" s="3042"/>
      <c r="B271" s="3045"/>
      <c r="C271" s="3047" t="s">
        <v>2691</v>
      </c>
      <c r="D271" s="2042"/>
      <c r="E271" s="2460"/>
      <c r="F271" s="1981" t="s">
        <v>2683</v>
      </c>
      <c r="G271" s="2465">
        <f t="shared" ref="G271:N271" si="155">IF($F$147&gt;5000000,ROUND(11.74*($F$147/1000)^-0.0774,2),0)</f>
        <v>0</v>
      </c>
      <c r="H271" s="2465">
        <f t="shared" si="155"/>
        <v>0</v>
      </c>
      <c r="I271" s="2465">
        <f t="shared" si="155"/>
        <v>0</v>
      </c>
      <c r="J271" s="2465">
        <f t="shared" si="155"/>
        <v>0</v>
      </c>
      <c r="K271" s="2465">
        <f t="shared" si="155"/>
        <v>0</v>
      </c>
      <c r="L271" s="2465">
        <f t="shared" si="155"/>
        <v>0</v>
      </c>
      <c r="M271" s="2465">
        <f t="shared" si="155"/>
        <v>0</v>
      </c>
      <c r="N271" s="2466">
        <f t="shared" si="155"/>
        <v>0</v>
      </c>
      <c r="O271" s="2445"/>
      <c r="P271" s="2445"/>
    </row>
    <row r="272" spans="1:16" ht="13.5" hidden="1" customHeight="1">
      <c r="A272" s="3043"/>
      <c r="B272" s="3046"/>
      <c r="C272" s="3048"/>
      <c r="D272" s="2463"/>
      <c r="E272" s="2464"/>
      <c r="F272" s="1981" t="s">
        <v>2684</v>
      </c>
      <c r="G272" s="2465">
        <f t="shared" ref="G272:N272" si="156">IF($F$147&gt;5000000,ROUND(6.94*($F$147/1000)^-0.0774,2),0)</f>
        <v>0</v>
      </c>
      <c r="H272" s="2465">
        <f t="shared" si="156"/>
        <v>0</v>
      </c>
      <c r="I272" s="2465">
        <f t="shared" si="156"/>
        <v>0</v>
      </c>
      <c r="J272" s="2465">
        <f t="shared" si="156"/>
        <v>0</v>
      </c>
      <c r="K272" s="2465">
        <f t="shared" si="156"/>
        <v>0</v>
      </c>
      <c r="L272" s="2465">
        <f t="shared" si="156"/>
        <v>0</v>
      </c>
      <c r="M272" s="2465">
        <f t="shared" si="156"/>
        <v>0</v>
      </c>
      <c r="N272" s="2466">
        <f t="shared" si="156"/>
        <v>0</v>
      </c>
      <c r="O272" s="2445"/>
      <c r="P272" s="2445"/>
    </row>
    <row r="273" spans="1:16" ht="13.5" hidden="1" customHeight="1">
      <c r="A273" s="3035" t="s">
        <v>2686</v>
      </c>
      <c r="B273" s="3036"/>
      <c r="C273" s="3036"/>
      <c r="D273" s="3036"/>
      <c r="E273" s="3036"/>
      <c r="F273" s="3037"/>
      <c r="G273" s="2467">
        <f t="shared" ref="G273:N273" si="157">IF($F$147&lt;=5000000,IF(G$268&gt;G$269,G$269,IF(G$268&lt;G$270,G$270,G$268)),IF(G$268&gt;G$271,G$271,IF(G$268&lt;G$272,G$272,G$268)))</f>
        <v>3.59</v>
      </c>
      <c r="H273" s="2467">
        <f t="shared" si="157"/>
        <v>3.59</v>
      </c>
      <c r="I273" s="2467">
        <f t="shared" si="157"/>
        <v>3.59</v>
      </c>
      <c r="J273" s="2467">
        <f t="shared" si="157"/>
        <v>3.59</v>
      </c>
      <c r="K273" s="2467">
        <f t="shared" si="157"/>
        <v>3.59</v>
      </c>
      <c r="L273" s="2467">
        <f t="shared" si="157"/>
        <v>3.59</v>
      </c>
      <c r="M273" s="2467">
        <f t="shared" si="157"/>
        <v>3.59</v>
      </c>
      <c r="N273" s="2468">
        <f t="shared" si="157"/>
        <v>3.59</v>
      </c>
      <c r="O273" s="2469"/>
      <c r="P273" s="2469"/>
    </row>
    <row r="274" spans="1:16" ht="13.5" hidden="1" customHeight="1" thickBot="1">
      <c r="A274" s="3038" t="s">
        <v>2687</v>
      </c>
      <c r="B274" s="3039"/>
      <c r="C274" s="3039"/>
      <c r="D274" s="3039"/>
      <c r="E274" s="3039"/>
      <c r="F274" s="3040"/>
      <c r="G274" s="2448">
        <f t="shared" ref="G274:N274" si="158">ROUND(G273*IF(AND(G92="駅施設",G93="無し"),0.7,IF(AND(G92="駅施設",G93="有り"),0.7,IF(AND(G92="地上建物",G93="無し"),0.9,IF(AND(G92="地上建物",G93="有り"),1,0)))),2)</f>
        <v>2.5099999999999998</v>
      </c>
      <c r="H274" s="2448">
        <f t="shared" si="158"/>
        <v>0</v>
      </c>
      <c r="I274" s="2448">
        <f t="shared" si="158"/>
        <v>0</v>
      </c>
      <c r="J274" s="2448">
        <f>ROUND(J273*IF(AND(J92="駅施設",J93="無し"),0.7,IF(AND(J92="駅施設",J93="有り"),0.7,IF(AND(J92="地上建物",J93="無し"),0.9,IF(AND(J92="地上建物",J93="有り"),1,0)))),2)</f>
        <v>0</v>
      </c>
      <c r="K274" s="2448">
        <f>ROUND(K273*IF(AND(K92="駅施設",K93="無し"),0.7,IF(AND(K92="駅施設",K93="有り"),0.7,IF(AND(K92="地上建物",K93="無し"),0.9,IF(AND(K92="地上建物",K93="有り"),1,0)))),2)</f>
        <v>0</v>
      </c>
      <c r="L274" s="2448">
        <f t="shared" si="158"/>
        <v>0</v>
      </c>
      <c r="M274" s="2448">
        <f t="shared" si="158"/>
        <v>0</v>
      </c>
      <c r="N274" s="2449">
        <f t="shared" si="158"/>
        <v>0</v>
      </c>
      <c r="O274" s="2445"/>
      <c r="P274" s="2445"/>
    </row>
    <row r="275" spans="1:16" ht="13.5" hidden="1" customHeight="1" thickBot="1">
      <c r="A275" s="1762"/>
      <c r="B275" s="1762"/>
      <c r="C275" s="1762"/>
      <c r="D275" s="1762"/>
      <c r="E275" s="2470"/>
      <c r="F275" s="2470"/>
      <c r="G275" s="2471"/>
      <c r="H275" s="2471"/>
      <c r="I275" s="2471"/>
      <c r="J275" s="2471"/>
      <c r="K275" s="2471"/>
      <c r="L275" s="2471"/>
      <c r="M275" s="2471"/>
      <c r="N275" s="2471"/>
    </row>
    <row r="276" spans="1:16" ht="13.5" hidden="1" customHeight="1">
      <c r="A276" s="2453"/>
      <c r="B276" s="2454"/>
      <c r="C276" s="2455" t="s">
        <v>2692</v>
      </c>
      <c r="D276" s="2456"/>
      <c r="E276" s="2454"/>
      <c r="F276" s="2457" t="s">
        <v>2678</v>
      </c>
      <c r="G276" s="2472">
        <f t="shared" ref="G276:N276" si="159">+G284</f>
        <v>0</v>
      </c>
      <c r="H276" s="2472">
        <f t="shared" si="159"/>
        <v>0</v>
      </c>
      <c r="I276" s="2472">
        <f t="shared" si="159"/>
        <v>0</v>
      </c>
      <c r="J276" s="2472">
        <f>+J284</f>
        <v>0</v>
      </c>
      <c r="K276" s="2472">
        <f>+K284</f>
        <v>0</v>
      </c>
      <c r="L276" s="2472">
        <f t="shared" si="159"/>
        <v>0</v>
      </c>
      <c r="M276" s="2472">
        <f t="shared" si="159"/>
        <v>0</v>
      </c>
      <c r="N276" s="2473">
        <f t="shared" si="159"/>
        <v>0</v>
      </c>
    </row>
    <row r="277" spans="1:16" ht="13.5" hidden="1" customHeight="1">
      <c r="A277" s="3041"/>
      <c r="B277" s="3044" t="s">
        <v>2679</v>
      </c>
      <c r="C277" s="2458" t="s">
        <v>2693</v>
      </c>
      <c r="D277" s="2033"/>
      <c r="E277" s="2459"/>
      <c r="F277" s="1981" t="s">
        <v>2805</v>
      </c>
      <c r="G277" s="2433">
        <f t="shared" ref="G277:N277" si="160">IF($F$178&lt;=10000000,ROUND(151.08*((10000)^-0.3396)*(G276^0.586),2),ROUND(151.08*(($F$178/1000)^-0.3396)*(G276^0.586),2))</f>
        <v>0</v>
      </c>
      <c r="H277" s="2433">
        <f t="shared" si="160"/>
        <v>0</v>
      </c>
      <c r="I277" s="2433">
        <f t="shared" si="160"/>
        <v>0</v>
      </c>
      <c r="J277" s="2433">
        <f>IF($F$178&lt;=10000000,ROUND(151.08*((10000)^-0.3396)*(J276^0.586),2),ROUND(151.08*(($F$178/1000)^-0.3396)*(J276^0.586),2))</f>
        <v>0</v>
      </c>
      <c r="K277" s="2433">
        <f>IF($F$178&lt;=10000000,ROUND(151.08*((10000)^-0.3396)*(K276^0.586),2),ROUND(151.08*(($F$178/1000)^-0.3396)*(K276^0.586),2))</f>
        <v>0</v>
      </c>
      <c r="L277" s="2433">
        <f t="shared" si="160"/>
        <v>0</v>
      </c>
      <c r="M277" s="2433">
        <f t="shared" si="160"/>
        <v>0</v>
      </c>
      <c r="N277" s="2434">
        <f t="shared" si="160"/>
        <v>0</v>
      </c>
    </row>
    <row r="278" spans="1:16" ht="13.5" hidden="1" customHeight="1">
      <c r="A278" s="3042"/>
      <c r="B278" s="3045"/>
      <c r="C278" s="3047" t="s">
        <v>2695</v>
      </c>
      <c r="D278" s="2042"/>
      <c r="E278" s="2460"/>
      <c r="F278" s="1981" t="s">
        <v>2683</v>
      </c>
      <c r="G278" s="2474">
        <f t="shared" ref="G278:N278" si="161">IF($F$178&lt;=10000000,ROUND(20.13,2),0)</f>
        <v>20.13</v>
      </c>
      <c r="H278" s="2474">
        <f t="shared" si="161"/>
        <v>20.13</v>
      </c>
      <c r="I278" s="2474">
        <f t="shared" si="161"/>
        <v>20.13</v>
      </c>
      <c r="J278" s="2474">
        <f t="shared" si="161"/>
        <v>20.13</v>
      </c>
      <c r="K278" s="2474">
        <f t="shared" si="161"/>
        <v>20.13</v>
      </c>
      <c r="L278" s="2474">
        <f t="shared" si="161"/>
        <v>20.13</v>
      </c>
      <c r="M278" s="2474">
        <f t="shared" si="161"/>
        <v>20.13</v>
      </c>
      <c r="N278" s="2475">
        <f t="shared" si="161"/>
        <v>20.13</v>
      </c>
    </row>
    <row r="279" spans="1:16" ht="13.5" hidden="1" customHeight="1">
      <c r="A279" s="3042"/>
      <c r="B279" s="3045"/>
      <c r="C279" s="3048"/>
      <c r="D279" s="2463"/>
      <c r="E279" s="2464"/>
      <c r="F279" s="1981" t="s">
        <v>2684</v>
      </c>
      <c r="G279" s="2474">
        <f t="shared" ref="G279:N279" si="162">IF($F$178&lt;=10000000,ROUND(10.01,2),0)</f>
        <v>10.01</v>
      </c>
      <c r="H279" s="2474">
        <f t="shared" si="162"/>
        <v>10.01</v>
      </c>
      <c r="I279" s="2474">
        <f t="shared" si="162"/>
        <v>10.01</v>
      </c>
      <c r="J279" s="2474">
        <f t="shared" si="162"/>
        <v>10.01</v>
      </c>
      <c r="K279" s="2474">
        <f t="shared" si="162"/>
        <v>10.01</v>
      </c>
      <c r="L279" s="2474">
        <f t="shared" si="162"/>
        <v>10.01</v>
      </c>
      <c r="M279" s="2474">
        <f t="shared" si="162"/>
        <v>10.01</v>
      </c>
      <c r="N279" s="2475">
        <f t="shared" si="162"/>
        <v>10.01</v>
      </c>
    </row>
    <row r="280" spans="1:16" ht="13.5" hidden="1" customHeight="1">
      <c r="A280" s="3042"/>
      <c r="B280" s="3045"/>
      <c r="C280" s="3047" t="s">
        <v>2696</v>
      </c>
      <c r="D280" s="2042"/>
      <c r="E280" s="2460"/>
      <c r="F280" s="1981" t="s">
        <v>2683</v>
      </c>
      <c r="G280" s="2476">
        <f t="shared" ref="G280:N280" si="163">IF($F$178&gt;10000000,ROUND(75.97*($F$178/1000)^-0.1442,2),0)</f>
        <v>0</v>
      </c>
      <c r="H280" s="2476">
        <f t="shared" si="163"/>
        <v>0</v>
      </c>
      <c r="I280" s="2476">
        <f t="shared" si="163"/>
        <v>0</v>
      </c>
      <c r="J280" s="2476">
        <f t="shared" si="163"/>
        <v>0</v>
      </c>
      <c r="K280" s="2476">
        <f t="shared" si="163"/>
        <v>0</v>
      </c>
      <c r="L280" s="2476">
        <f t="shared" si="163"/>
        <v>0</v>
      </c>
      <c r="M280" s="2476">
        <f t="shared" si="163"/>
        <v>0</v>
      </c>
      <c r="N280" s="2477">
        <f t="shared" si="163"/>
        <v>0</v>
      </c>
    </row>
    <row r="281" spans="1:16" ht="13.5" hidden="1" customHeight="1">
      <c r="A281" s="3043"/>
      <c r="B281" s="3046"/>
      <c r="C281" s="3048"/>
      <c r="D281" s="2463"/>
      <c r="E281" s="2464"/>
      <c r="F281" s="1981" t="s">
        <v>2684</v>
      </c>
      <c r="G281" s="2476">
        <f t="shared" ref="G281:N281" si="164">IF($F$178&gt;10000000,ROUND(37.76*($F$178/1000)^-0.1442,2),0)</f>
        <v>0</v>
      </c>
      <c r="H281" s="2476">
        <f t="shared" si="164"/>
        <v>0</v>
      </c>
      <c r="I281" s="2476">
        <f t="shared" si="164"/>
        <v>0</v>
      </c>
      <c r="J281" s="2476">
        <f t="shared" si="164"/>
        <v>0</v>
      </c>
      <c r="K281" s="2476">
        <f t="shared" si="164"/>
        <v>0</v>
      </c>
      <c r="L281" s="2476">
        <f t="shared" si="164"/>
        <v>0</v>
      </c>
      <c r="M281" s="2476">
        <f t="shared" si="164"/>
        <v>0</v>
      </c>
      <c r="N281" s="2477">
        <f t="shared" si="164"/>
        <v>0</v>
      </c>
    </row>
    <row r="282" spans="1:16" ht="13.5" hidden="1" customHeight="1" thickBot="1">
      <c r="A282" s="3058" t="s">
        <v>2697</v>
      </c>
      <c r="B282" s="3059"/>
      <c r="C282" s="3059"/>
      <c r="D282" s="3060"/>
      <c r="E282" s="2478"/>
      <c r="F282" s="2479"/>
      <c r="G282" s="2480">
        <f t="shared" ref="G282:N282" si="165">IF($F$178&lt;=10000000,IF(G$277&gt;G$278,G$278,IF(G$277&lt;G$279,G$279,G$277)),IF(G$277&gt;G$280,G$280,IF(G$277&lt;G$281,G$281,G$277)))</f>
        <v>10.01</v>
      </c>
      <c r="H282" s="2480">
        <f t="shared" si="165"/>
        <v>10.01</v>
      </c>
      <c r="I282" s="2480">
        <f t="shared" si="165"/>
        <v>10.01</v>
      </c>
      <c r="J282" s="2480">
        <f t="shared" si="165"/>
        <v>10.01</v>
      </c>
      <c r="K282" s="2480">
        <f t="shared" si="165"/>
        <v>10.01</v>
      </c>
      <c r="L282" s="2480">
        <f t="shared" si="165"/>
        <v>10.01</v>
      </c>
      <c r="M282" s="2480">
        <f t="shared" si="165"/>
        <v>10.01</v>
      </c>
      <c r="N282" s="2481">
        <f t="shared" si="165"/>
        <v>10.01</v>
      </c>
    </row>
    <row r="283" spans="1:16" ht="13.5" hidden="1" customHeight="1" thickBot="1">
      <c r="A283" s="1762"/>
      <c r="B283" s="1762"/>
      <c r="C283" s="1762"/>
      <c r="D283" s="1762"/>
      <c r="E283" s="1762"/>
      <c r="F283" s="1762"/>
      <c r="G283" s="2482"/>
      <c r="H283" s="2482"/>
      <c r="I283" s="2482"/>
      <c r="J283" s="2482"/>
      <c r="K283" s="2482"/>
      <c r="L283" s="2482"/>
      <c r="M283" s="2482"/>
      <c r="N283" s="2482"/>
    </row>
    <row r="284" spans="1:16" ht="13.5" hidden="1" customHeight="1">
      <c r="A284" s="2453"/>
      <c r="B284" s="2454"/>
      <c r="C284" s="2455" t="s">
        <v>2692</v>
      </c>
      <c r="D284" s="2456"/>
      <c r="E284" s="2454"/>
      <c r="F284" s="2457" t="s">
        <v>2678</v>
      </c>
      <c r="G284" s="2472">
        <f t="shared" ref="G284:N284" si="166">+G87</f>
        <v>0</v>
      </c>
      <c r="H284" s="2472">
        <f t="shared" si="166"/>
        <v>0</v>
      </c>
      <c r="I284" s="2472">
        <f t="shared" si="166"/>
        <v>0</v>
      </c>
      <c r="J284" s="2472">
        <f>+J87</f>
        <v>0</v>
      </c>
      <c r="K284" s="2472">
        <f>+K87</f>
        <v>0</v>
      </c>
      <c r="L284" s="2472">
        <f t="shared" si="166"/>
        <v>0</v>
      </c>
      <c r="M284" s="2472">
        <f t="shared" si="166"/>
        <v>0</v>
      </c>
      <c r="N284" s="2473">
        <f t="shared" si="166"/>
        <v>0</v>
      </c>
    </row>
    <row r="285" spans="1:16" ht="13.5" hidden="1" customHeight="1">
      <c r="A285" s="3041"/>
      <c r="B285" s="3044" t="s">
        <v>2688</v>
      </c>
      <c r="C285" s="2458" t="s">
        <v>2693</v>
      </c>
      <c r="D285" s="2033"/>
      <c r="E285" s="2459"/>
      <c r="F285" s="1981" t="s">
        <v>2913</v>
      </c>
      <c r="G285" s="2433">
        <f t="shared" ref="G285:N285" si="167">IF($F$178&lt;=5000000,ROUND(356.2*((5000)^-0.4085)*(G284^0.5766),2),ROUND(356.2*(($F$178/1000)^-0.4085)*(G284^0.5766),2))</f>
        <v>0</v>
      </c>
      <c r="H285" s="2433">
        <f t="shared" si="167"/>
        <v>0</v>
      </c>
      <c r="I285" s="2433">
        <f t="shared" si="167"/>
        <v>0</v>
      </c>
      <c r="J285" s="2433">
        <f>IF($F$178&lt;=5000000,ROUND(356.2*((5000)^-0.4085)*(J284^0.5766),2),ROUND(356.2*(($F$178/1000)^-0.4085)*(J284^0.5766),2))</f>
        <v>0</v>
      </c>
      <c r="K285" s="2433">
        <f>IF($F$178&lt;=5000000,ROUND(356.2*((5000)^-0.4085)*(K284^0.5766),2),ROUND(356.2*(($F$178/1000)^-0.4085)*(K284^0.5766),2))</f>
        <v>0</v>
      </c>
      <c r="L285" s="2433">
        <f t="shared" si="167"/>
        <v>0</v>
      </c>
      <c r="M285" s="2433">
        <f t="shared" si="167"/>
        <v>0</v>
      </c>
      <c r="N285" s="2434">
        <f t="shared" si="167"/>
        <v>0</v>
      </c>
    </row>
    <row r="286" spans="1:16" ht="13.5" hidden="1" customHeight="1">
      <c r="A286" s="3042"/>
      <c r="B286" s="3045"/>
      <c r="C286" s="3047" t="s">
        <v>2698</v>
      </c>
      <c r="D286" s="2042"/>
      <c r="E286" s="2460"/>
      <c r="F286" s="1981" t="s">
        <v>2683</v>
      </c>
      <c r="G286" s="2474">
        <f t="shared" ref="G286:N286" si="168">IF($F$178&lt;=5000000,ROUND(26.86,2),0)</f>
        <v>26.86</v>
      </c>
      <c r="H286" s="2474">
        <f t="shared" si="168"/>
        <v>26.86</v>
      </c>
      <c r="I286" s="2474">
        <f t="shared" si="168"/>
        <v>26.86</v>
      </c>
      <c r="J286" s="2474">
        <f t="shared" si="168"/>
        <v>26.86</v>
      </c>
      <c r="K286" s="2474">
        <f t="shared" si="168"/>
        <v>26.86</v>
      </c>
      <c r="L286" s="2474">
        <f t="shared" si="168"/>
        <v>26.86</v>
      </c>
      <c r="M286" s="2474">
        <f t="shared" si="168"/>
        <v>26.86</v>
      </c>
      <c r="N286" s="2475">
        <f t="shared" si="168"/>
        <v>26.86</v>
      </c>
    </row>
    <row r="287" spans="1:16" ht="13.5" hidden="1" customHeight="1">
      <c r="A287" s="3042"/>
      <c r="B287" s="3045"/>
      <c r="C287" s="3048"/>
      <c r="D287" s="2463"/>
      <c r="E287" s="2464"/>
      <c r="F287" s="1981" t="s">
        <v>2684</v>
      </c>
      <c r="G287" s="2474">
        <f t="shared" ref="G287:N287" si="169">IF($F$178&lt;=5000000,ROUND(12.7,2),0)</f>
        <v>12.7</v>
      </c>
      <c r="H287" s="2474">
        <f t="shared" si="169"/>
        <v>12.7</v>
      </c>
      <c r="I287" s="2474">
        <f t="shared" si="169"/>
        <v>12.7</v>
      </c>
      <c r="J287" s="2474">
        <f t="shared" si="169"/>
        <v>12.7</v>
      </c>
      <c r="K287" s="2474">
        <f t="shared" si="169"/>
        <v>12.7</v>
      </c>
      <c r="L287" s="2474">
        <f t="shared" si="169"/>
        <v>12.7</v>
      </c>
      <c r="M287" s="2474">
        <f t="shared" si="169"/>
        <v>12.7</v>
      </c>
      <c r="N287" s="2475">
        <f t="shared" si="169"/>
        <v>12.7</v>
      </c>
    </row>
    <row r="288" spans="1:16" ht="13.5" hidden="1" customHeight="1">
      <c r="A288" s="3042"/>
      <c r="B288" s="3045"/>
      <c r="C288" s="3047" t="s">
        <v>2699</v>
      </c>
      <c r="D288" s="2042"/>
      <c r="E288" s="2460"/>
      <c r="F288" s="1981" t="s">
        <v>2683</v>
      </c>
      <c r="G288" s="2476">
        <f t="shared" ref="G288:N288" si="170">IF($F$178&gt;5000000,ROUND(184.58*($F$178/1000)^-0.2263,2),0)</f>
        <v>0</v>
      </c>
      <c r="H288" s="2476">
        <f t="shared" si="170"/>
        <v>0</v>
      </c>
      <c r="I288" s="2476">
        <f t="shared" si="170"/>
        <v>0</v>
      </c>
      <c r="J288" s="2476">
        <f t="shared" si="170"/>
        <v>0</v>
      </c>
      <c r="K288" s="2476">
        <f t="shared" si="170"/>
        <v>0</v>
      </c>
      <c r="L288" s="2476">
        <f t="shared" si="170"/>
        <v>0</v>
      </c>
      <c r="M288" s="2476">
        <f t="shared" si="170"/>
        <v>0</v>
      </c>
      <c r="N288" s="2477">
        <f t="shared" si="170"/>
        <v>0</v>
      </c>
    </row>
    <row r="289" spans="1:14" ht="13.5" hidden="1" customHeight="1">
      <c r="A289" s="3043"/>
      <c r="B289" s="3046"/>
      <c r="C289" s="3048"/>
      <c r="D289" s="2463"/>
      <c r="E289" s="2464"/>
      <c r="F289" s="1981" t="s">
        <v>2684</v>
      </c>
      <c r="G289" s="2476">
        <f t="shared" ref="G289:N289" si="171">IF($F$178&gt;5000000,ROUND(87.29*($F$178/1000)^-0.2263,2),0)</f>
        <v>0</v>
      </c>
      <c r="H289" s="2476">
        <f t="shared" si="171"/>
        <v>0</v>
      </c>
      <c r="I289" s="2476">
        <f t="shared" si="171"/>
        <v>0</v>
      </c>
      <c r="J289" s="2476">
        <f t="shared" si="171"/>
        <v>0</v>
      </c>
      <c r="K289" s="2476">
        <f t="shared" si="171"/>
        <v>0</v>
      </c>
      <c r="L289" s="2476">
        <f t="shared" si="171"/>
        <v>0</v>
      </c>
      <c r="M289" s="2476">
        <f t="shared" si="171"/>
        <v>0</v>
      </c>
      <c r="N289" s="2477">
        <f t="shared" si="171"/>
        <v>0</v>
      </c>
    </row>
    <row r="290" spans="1:14" ht="13.5" hidden="1" customHeight="1" thickBot="1">
      <c r="A290" s="3058" t="s">
        <v>2697</v>
      </c>
      <c r="B290" s="3059"/>
      <c r="C290" s="3059"/>
      <c r="D290" s="3059"/>
      <c r="E290" s="2483"/>
      <c r="F290" s="2479"/>
      <c r="G290" s="2484">
        <f t="shared" ref="G290:N290" si="172">IF($F$178&lt;=5000000,IF(G$285&gt;G$286,G$286,IF(G$285&lt;G$287,G$287,G$285)),IF(G$285&gt;G$288,G$288,IF(G285&lt;G$289,G$289,G$285)))</f>
        <v>12.7</v>
      </c>
      <c r="H290" s="2484">
        <f t="shared" si="172"/>
        <v>12.7</v>
      </c>
      <c r="I290" s="2484">
        <f t="shared" si="172"/>
        <v>12.7</v>
      </c>
      <c r="J290" s="2484">
        <f>IF($F$178&lt;=5000000,IF(J$285&gt;J$286,J$286,IF(J$285&lt;J$287,J$287,J$285)),IF(J$285&gt;J$288,J$288,IF(J285&lt;J$289,J$289,J$285)))</f>
        <v>12.7</v>
      </c>
      <c r="K290" s="2484">
        <f>IF($F$178&lt;=5000000,IF(K$285&gt;K$286,K$286,IF(K$285&lt;K$287,K$287,K$285)),IF(K$285&gt;K$288,K$288,IF(K285&lt;K$289,K$289,K$285)))</f>
        <v>12.7</v>
      </c>
      <c r="L290" s="2484">
        <f t="shared" si="172"/>
        <v>12.7</v>
      </c>
      <c r="M290" s="2484">
        <f t="shared" si="172"/>
        <v>12.7</v>
      </c>
      <c r="N290" s="2485">
        <f t="shared" si="172"/>
        <v>12.7</v>
      </c>
    </row>
    <row r="291" spans="1:14" ht="13.5" hidden="1" customHeight="1" thickBot="1">
      <c r="A291" s="1762"/>
      <c r="B291" s="1762"/>
      <c r="C291" s="1762"/>
      <c r="D291" s="1762"/>
      <c r="E291" s="1762"/>
      <c r="F291" s="1762"/>
      <c r="G291" s="2486"/>
      <c r="H291" s="2486"/>
      <c r="I291" s="2486"/>
      <c r="J291" s="2486"/>
      <c r="K291" s="2486"/>
      <c r="L291" s="2486"/>
      <c r="M291" s="2486"/>
      <c r="N291" s="2486"/>
    </row>
    <row r="292" spans="1:14" ht="13.5" hidden="1" customHeight="1">
      <c r="A292" s="2453"/>
      <c r="B292" s="2454"/>
      <c r="C292" s="2455" t="s">
        <v>2700</v>
      </c>
      <c r="D292" s="2456"/>
      <c r="E292" s="2454"/>
      <c r="F292" s="2457"/>
      <c r="G292" s="2487"/>
      <c r="H292" s="2488"/>
      <c r="I292" s="2429"/>
      <c r="J292" s="2429"/>
      <c r="K292" s="2429"/>
      <c r="L292" s="2429"/>
      <c r="M292" s="2429"/>
      <c r="N292" s="2429"/>
    </row>
    <row r="293" spans="1:14" ht="13.5" hidden="1" customHeight="1">
      <c r="A293" s="3041"/>
      <c r="B293" s="3044" t="s">
        <v>79</v>
      </c>
      <c r="C293" s="2458" t="s">
        <v>2701</v>
      </c>
      <c r="D293" s="2033"/>
      <c r="E293" s="2459"/>
      <c r="F293" s="1981" t="s">
        <v>2806</v>
      </c>
      <c r="G293" s="2489" t="e">
        <f>ROUND(15.065-1.028*LOG($F$225/1000),2)</f>
        <v>#NUM!</v>
      </c>
      <c r="H293" s="2490"/>
      <c r="I293" s="2435"/>
      <c r="J293" s="2435"/>
      <c r="K293" s="2435"/>
      <c r="L293" s="2435"/>
      <c r="M293" s="2435"/>
      <c r="N293" s="2435"/>
    </row>
    <row r="294" spans="1:14" ht="13.5" hidden="1" customHeight="1">
      <c r="A294" s="3042"/>
      <c r="B294" s="3045"/>
      <c r="C294" s="2491" t="s">
        <v>2703</v>
      </c>
      <c r="D294" s="2042"/>
      <c r="E294" s="2042"/>
      <c r="F294" s="2492"/>
      <c r="G294" s="2493">
        <f>IF($F$225&lt;=5000000,11.26,0)</f>
        <v>11.26</v>
      </c>
      <c r="H294" s="2494"/>
      <c r="I294" s="2440"/>
      <c r="J294" s="2440"/>
      <c r="K294" s="2440"/>
      <c r="L294" s="2495"/>
      <c r="M294" s="2440"/>
      <c r="N294" s="2440"/>
    </row>
    <row r="295" spans="1:14" ht="13.5" hidden="1" customHeight="1">
      <c r="A295" s="3042"/>
      <c r="B295" s="3045"/>
      <c r="C295" s="2491" t="s">
        <v>2704</v>
      </c>
      <c r="D295" s="2042"/>
      <c r="E295" s="2033"/>
      <c r="F295" s="2492"/>
      <c r="G295" s="2493">
        <f>IF($F$225&gt;3000000000,8.41,0)</f>
        <v>0</v>
      </c>
      <c r="H295" s="2496"/>
      <c r="I295" s="2445"/>
      <c r="J295" s="2445"/>
      <c r="K295" s="2445"/>
      <c r="L295" s="2445"/>
      <c r="M295" s="2445"/>
      <c r="N295" s="2445"/>
    </row>
    <row r="296" spans="1:14" ht="13.5" hidden="1" customHeight="1" thickBot="1">
      <c r="A296" s="3061" t="s">
        <v>2705</v>
      </c>
      <c r="B296" s="3062"/>
      <c r="C296" s="3062"/>
      <c r="D296" s="3062"/>
      <c r="E296" s="2497"/>
      <c r="F296" s="2498"/>
      <c r="G296" s="2499">
        <f>IF($F$225&lt;=5000000,G294,IF($F$225&gt;3000000000,G295,G293))</f>
        <v>11.26</v>
      </c>
      <c r="H296" s="2500"/>
      <c r="I296" s="2501"/>
      <c r="J296" s="2501"/>
      <c r="K296" s="2501"/>
      <c r="L296" s="2501"/>
      <c r="M296" s="2501"/>
      <c r="N296" s="2501"/>
    </row>
    <row r="297" spans="1:14" ht="13.5" customHeight="1">
      <c r="A297" s="2502"/>
      <c r="B297" s="2503"/>
      <c r="C297" s="2503"/>
      <c r="D297" s="2503"/>
      <c r="E297" s="1762"/>
      <c r="F297" s="1762"/>
      <c r="G297" s="2469"/>
      <c r="H297" s="2469"/>
      <c r="I297" s="2469"/>
      <c r="J297" s="2469"/>
      <c r="K297" s="2469"/>
      <c r="L297" s="2469"/>
      <c r="M297" s="2469"/>
      <c r="N297" s="2469"/>
    </row>
    <row r="298" spans="1:14" ht="13.5" customHeight="1">
      <c r="A298" s="1705"/>
      <c r="B298" s="1705"/>
      <c r="C298" s="1706"/>
      <c r="D298" s="1706"/>
      <c r="E298" s="1707" t="s">
        <v>2501</v>
      </c>
      <c r="F298" s="1961" t="s">
        <v>2807</v>
      </c>
      <c r="G298" s="1962"/>
      <c r="H298" s="1962"/>
      <c r="I298" s="1715"/>
      <c r="J298" s="1715"/>
      <c r="K298" s="1715"/>
      <c r="L298" s="1715"/>
      <c r="M298" s="1963"/>
      <c r="N298" s="1711" t="s">
        <v>2818</v>
      </c>
    </row>
    <row r="299" spans="1:14" ht="13.5" customHeight="1">
      <c r="A299" s="1705"/>
      <c r="B299" s="1705"/>
      <c r="C299" s="1964" t="s">
        <v>2842</v>
      </c>
      <c r="D299" s="1965"/>
      <c r="E299" s="1706"/>
      <c r="F299" s="1706"/>
      <c r="G299" s="1966"/>
      <c r="H299" s="1715"/>
      <c r="I299" s="1715"/>
      <c r="J299" s="1715"/>
      <c r="K299" s="1715"/>
      <c r="L299" s="1715"/>
      <c r="M299" s="1705"/>
      <c r="N299" s="1967"/>
    </row>
    <row r="300" spans="1:14" ht="13.5" customHeight="1">
      <c r="A300" s="1968"/>
      <c r="B300" s="1969"/>
      <c r="C300" s="1970" t="s">
        <v>2510</v>
      </c>
      <c r="D300" s="1971"/>
      <c r="E300" s="1972"/>
      <c r="F300" s="1973" t="s">
        <v>2588</v>
      </c>
      <c r="G300" s="2504" t="str">
        <f t="shared" ref="G300:N301" si="173">G8</f>
        <v/>
      </c>
      <c r="H300" s="2504" t="str">
        <f t="shared" si="173"/>
        <v/>
      </c>
      <c r="I300" s="2504" t="str">
        <f t="shared" si="173"/>
        <v/>
      </c>
      <c r="J300" s="2504" t="str">
        <f t="shared" si="173"/>
        <v/>
      </c>
      <c r="K300" s="2504" t="str">
        <f t="shared" si="173"/>
        <v/>
      </c>
      <c r="L300" s="2504" t="str">
        <f t="shared" si="173"/>
        <v/>
      </c>
      <c r="M300" s="2504" t="str">
        <f t="shared" si="173"/>
        <v/>
      </c>
      <c r="N300" s="2505" t="str">
        <f t="shared" si="173"/>
        <v/>
      </c>
    </row>
    <row r="301" spans="1:14" ht="13.5" customHeight="1">
      <c r="A301" s="1977"/>
      <c r="B301" s="1978"/>
      <c r="C301" s="1979" t="s">
        <v>2512</v>
      </c>
      <c r="D301" s="1980"/>
      <c r="E301" s="1981"/>
      <c r="F301" s="1982" t="s">
        <v>2914</v>
      </c>
      <c r="G301" s="2506" t="str">
        <f>G9</f>
        <v>改修</v>
      </c>
      <c r="H301" s="2506" t="str">
        <f t="shared" si="173"/>
        <v/>
      </c>
      <c r="I301" s="2506" t="str">
        <f t="shared" si="173"/>
        <v/>
      </c>
      <c r="J301" s="2506" t="str">
        <f t="shared" si="173"/>
        <v/>
      </c>
      <c r="K301" s="2506" t="str">
        <f t="shared" si="173"/>
        <v/>
      </c>
      <c r="L301" s="2506" t="str">
        <f t="shared" si="173"/>
        <v/>
      </c>
      <c r="M301" s="2506" t="str">
        <f t="shared" si="173"/>
        <v/>
      </c>
      <c r="N301" s="2507" t="str">
        <f t="shared" si="173"/>
        <v/>
      </c>
    </row>
    <row r="302" spans="1:14" ht="13.5" customHeight="1">
      <c r="A302" s="1985"/>
      <c r="B302" s="1986"/>
      <c r="C302" s="1986" t="s">
        <v>2749</v>
      </c>
      <c r="D302" s="1986"/>
      <c r="E302" s="1987" t="s">
        <v>2591</v>
      </c>
      <c r="F302" s="1988" t="s">
        <v>2505</v>
      </c>
      <c r="G302" s="1989" t="s">
        <v>2845</v>
      </c>
      <c r="H302" s="1989" t="s">
        <v>2915</v>
      </c>
      <c r="I302" s="1989" t="s">
        <v>2916</v>
      </c>
      <c r="J302" s="1989" t="s">
        <v>2916</v>
      </c>
      <c r="K302" s="1989" t="s">
        <v>2916</v>
      </c>
      <c r="L302" s="1990" t="s">
        <v>2917</v>
      </c>
      <c r="M302" s="1990" t="s">
        <v>2918</v>
      </c>
      <c r="N302" s="1991" t="s">
        <v>2919</v>
      </c>
    </row>
    <row r="303" spans="1:14" ht="13.5" customHeight="1">
      <c r="A303" s="1759"/>
      <c r="B303" s="1740"/>
      <c r="C303" s="1992" t="s">
        <v>2592</v>
      </c>
      <c r="D303" s="1992"/>
      <c r="E303" s="1993" t="s">
        <v>2591</v>
      </c>
      <c r="F303" s="1994" t="s">
        <v>2593</v>
      </c>
      <c r="G303" s="1995"/>
      <c r="H303" s="1995"/>
      <c r="I303" s="1995"/>
      <c r="J303" s="1995"/>
      <c r="K303" s="1995"/>
      <c r="L303" s="1995"/>
      <c r="M303" s="1995"/>
      <c r="N303" s="1996"/>
    </row>
    <row r="304" spans="1:14" ht="13.5" customHeight="1">
      <c r="A304" s="1759"/>
      <c r="B304" s="1740"/>
      <c r="C304" s="2977" t="s">
        <v>2826</v>
      </c>
      <c r="D304" s="2977"/>
      <c r="E304" s="2977"/>
      <c r="F304" s="2978"/>
      <c r="G304" s="2508" t="str">
        <f>G10</f>
        <v>積上げ・率処理併用</v>
      </c>
      <c r="H304" s="2508" t="str">
        <f t="shared" ref="H304:N306" si="174">H10</f>
        <v/>
      </c>
      <c r="I304" s="2508" t="str">
        <f t="shared" si="174"/>
        <v/>
      </c>
      <c r="J304" s="2508" t="str">
        <f t="shared" si="174"/>
        <v/>
      </c>
      <c r="K304" s="2508" t="str">
        <f t="shared" si="174"/>
        <v/>
      </c>
      <c r="L304" s="2508" t="str">
        <f t="shared" si="174"/>
        <v/>
      </c>
      <c r="M304" s="2508" t="str">
        <f t="shared" si="174"/>
        <v/>
      </c>
      <c r="N304" s="2509" t="str">
        <f t="shared" si="174"/>
        <v/>
      </c>
    </row>
    <row r="305" spans="1:14" ht="30" customHeight="1">
      <c r="A305" s="2940" t="s">
        <v>2514</v>
      </c>
      <c r="B305" s="2979"/>
      <c r="C305" s="2979"/>
      <c r="D305" s="2979"/>
      <c r="E305" s="2979"/>
      <c r="F305" s="2980"/>
      <c r="G305" s="2510" t="str">
        <f>G11</f>
        <v>駅施設</v>
      </c>
      <c r="H305" s="2510" t="str">
        <f t="shared" si="174"/>
        <v/>
      </c>
      <c r="I305" s="2510" t="str">
        <f t="shared" si="174"/>
        <v/>
      </c>
      <c r="J305" s="2510" t="str">
        <f t="shared" si="174"/>
        <v/>
      </c>
      <c r="K305" s="2510" t="str">
        <f t="shared" si="174"/>
        <v/>
      </c>
      <c r="L305" s="2510" t="str">
        <f t="shared" si="174"/>
        <v/>
      </c>
      <c r="M305" s="2510" t="str">
        <f t="shared" si="174"/>
        <v/>
      </c>
      <c r="N305" s="2511" t="str">
        <f t="shared" si="174"/>
        <v/>
      </c>
    </row>
    <row r="306" spans="1:14" ht="30" customHeight="1">
      <c r="A306" s="2981" t="s">
        <v>2515</v>
      </c>
      <c r="B306" s="2982"/>
      <c r="C306" s="2982"/>
      <c r="D306" s="2982"/>
      <c r="E306" s="2982"/>
      <c r="F306" s="2983"/>
      <c r="G306" s="2512" t="str">
        <f>G12</f>
        <v>無し</v>
      </c>
      <c r="H306" s="2512" t="str">
        <f t="shared" si="174"/>
        <v/>
      </c>
      <c r="I306" s="2512" t="str">
        <f t="shared" si="174"/>
        <v/>
      </c>
      <c r="J306" s="2512" t="str">
        <f t="shared" si="174"/>
        <v/>
      </c>
      <c r="K306" s="2512" t="str">
        <f t="shared" si="174"/>
        <v/>
      </c>
      <c r="L306" s="2512" t="str">
        <f t="shared" si="174"/>
        <v/>
      </c>
      <c r="M306" s="2512" t="str">
        <f t="shared" si="174"/>
        <v/>
      </c>
      <c r="N306" s="2513" t="str">
        <f t="shared" si="174"/>
        <v/>
      </c>
    </row>
    <row r="307" spans="1:14" ht="13.5" customHeight="1">
      <c r="A307" s="1985"/>
      <c r="B307" s="2003" t="s">
        <v>2721</v>
      </c>
      <c r="C307" s="2004"/>
      <c r="D307" s="2004"/>
      <c r="E307" s="2005"/>
      <c r="F307" s="2006">
        <f t="shared" ref="F307:F318" si="175">SUM(G307:N307)</f>
        <v>0</v>
      </c>
      <c r="G307" s="2514">
        <f t="shared" ref="G307:N307" si="176">G13+G94</f>
        <v>0</v>
      </c>
      <c r="H307" s="2514">
        <f t="shared" si="176"/>
        <v>0</v>
      </c>
      <c r="I307" s="2514">
        <f t="shared" si="176"/>
        <v>0</v>
      </c>
      <c r="J307" s="2514">
        <f>J13+J94</f>
        <v>0</v>
      </c>
      <c r="K307" s="2514">
        <f>K13+K94</f>
        <v>0</v>
      </c>
      <c r="L307" s="2514">
        <f t="shared" si="176"/>
        <v>0</v>
      </c>
      <c r="M307" s="2514">
        <f t="shared" si="176"/>
        <v>0</v>
      </c>
      <c r="N307" s="2515">
        <f t="shared" si="176"/>
        <v>0</v>
      </c>
    </row>
    <row r="308" spans="1:14" ht="13.5" customHeight="1">
      <c r="A308" s="1759"/>
      <c r="B308" s="1782" t="s">
        <v>2518</v>
      </c>
      <c r="C308" s="2010"/>
      <c r="D308" s="2011"/>
      <c r="E308" s="2012"/>
      <c r="F308" s="2013">
        <f t="shared" si="175"/>
        <v>0</v>
      </c>
      <c r="G308" s="2014">
        <f t="shared" ref="G308:N308" si="177">SUM(G309:G310)</f>
        <v>0</v>
      </c>
      <c r="H308" s="2014">
        <f t="shared" si="177"/>
        <v>0</v>
      </c>
      <c r="I308" s="2014">
        <f t="shared" si="177"/>
        <v>0</v>
      </c>
      <c r="J308" s="2014">
        <f>SUM(J309:J310)</f>
        <v>0</v>
      </c>
      <c r="K308" s="2014">
        <f>SUM(K309:K310)</f>
        <v>0</v>
      </c>
      <c r="L308" s="2014">
        <f t="shared" si="177"/>
        <v>0</v>
      </c>
      <c r="M308" s="2014">
        <f t="shared" si="177"/>
        <v>0</v>
      </c>
      <c r="N308" s="2015">
        <f t="shared" si="177"/>
        <v>0</v>
      </c>
    </row>
    <row r="309" spans="1:14" ht="13.5" customHeight="1">
      <c r="A309" s="1759"/>
      <c r="B309" s="1782" t="s">
        <v>2519</v>
      </c>
      <c r="C309" s="1992"/>
      <c r="D309" s="1992"/>
      <c r="E309" s="2016"/>
      <c r="F309" s="2017">
        <f t="shared" si="175"/>
        <v>0</v>
      </c>
      <c r="G309" s="2018">
        <f t="shared" ref="G309:N309" si="178">G385</f>
        <v>0</v>
      </c>
      <c r="H309" s="2018">
        <f t="shared" si="178"/>
        <v>0</v>
      </c>
      <c r="I309" s="2018">
        <f t="shared" si="178"/>
        <v>0</v>
      </c>
      <c r="J309" s="2018">
        <f>J385</f>
        <v>0</v>
      </c>
      <c r="K309" s="2018">
        <f>K385</f>
        <v>0</v>
      </c>
      <c r="L309" s="2018">
        <f t="shared" si="178"/>
        <v>0</v>
      </c>
      <c r="M309" s="2018">
        <f t="shared" si="178"/>
        <v>0</v>
      </c>
      <c r="N309" s="2019">
        <f t="shared" si="178"/>
        <v>0</v>
      </c>
    </row>
    <row r="310" spans="1:14" ht="13.5" customHeight="1">
      <c r="A310" s="1759"/>
      <c r="B310" s="1782" t="s">
        <v>2525</v>
      </c>
      <c r="C310" s="1992"/>
      <c r="D310" s="1992"/>
      <c r="E310" s="2016"/>
      <c r="F310" s="2020">
        <f t="shared" si="175"/>
        <v>0</v>
      </c>
      <c r="G310" s="2516">
        <f t="shared" ref="G310:N311" si="179">G16+G97</f>
        <v>0</v>
      </c>
      <c r="H310" s="2516">
        <f t="shared" si="179"/>
        <v>0</v>
      </c>
      <c r="I310" s="2516">
        <f t="shared" si="179"/>
        <v>0</v>
      </c>
      <c r="J310" s="2516">
        <f>J16+J97</f>
        <v>0</v>
      </c>
      <c r="K310" s="2516">
        <f>K16+K97</f>
        <v>0</v>
      </c>
      <c r="L310" s="2516">
        <f t="shared" si="179"/>
        <v>0</v>
      </c>
      <c r="M310" s="2516">
        <f t="shared" si="179"/>
        <v>0</v>
      </c>
      <c r="N310" s="2517">
        <f t="shared" si="179"/>
        <v>0</v>
      </c>
    </row>
    <row r="311" spans="1:14" ht="13.5" customHeight="1">
      <c r="A311" s="1759"/>
      <c r="C311" s="2025" t="s">
        <v>2920</v>
      </c>
      <c r="D311" s="2026"/>
      <c r="E311" s="2027"/>
      <c r="F311" s="2028">
        <f t="shared" si="175"/>
        <v>0</v>
      </c>
      <c r="G311" s="2518">
        <f t="shared" si="179"/>
        <v>0</v>
      </c>
      <c r="H311" s="2518">
        <f t="shared" si="179"/>
        <v>0</v>
      </c>
      <c r="I311" s="2518">
        <f t="shared" si="179"/>
        <v>0</v>
      </c>
      <c r="J311" s="2518">
        <f>J17+J98</f>
        <v>0</v>
      </c>
      <c r="K311" s="2518">
        <f>K17+K98</f>
        <v>0</v>
      </c>
      <c r="L311" s="2518">
        <f t="shared" si="179"/>
        <v>0</v>
      </c>
      <c r="M311" s="2518">
        <f t="shared" si="179"/>
        <v>0</v>
      </c>
      <c r="N311" s="2519">
        <f t="shared" si="179"/>
        <v>0</v>
      </c>
    </row>
    <row r="312" spans="1:14" ht="13.5" hidden="1" customHeight="1">
      <c r="A312" s="2032"/>
      <c r="B312" s="2033"/>
      <c r="C312" s="2034" t="s">
        <v>2846</v>
      </c>
      <c r="D312" s="2035"/>
      <c r="E312" s="2036"/>
      <c r="F312" s="2037">
        <f t="shared" si="175"/>
        <v>0</v>
      </c>
      <c r="G312" s="2038"/>
      <c r="H312" s="2038"/>
      <c r="I312" s="2038"/>
      <c r="J312" s="2038"/>
      <c r="K312" s="2038"/>
      <c r="L312" s="2039"/>
      <c r="M312" s="2039"/>
      <c r="N312" s="2040"/>
    </row>
    <row r="313" spans="1:14" ht="13.5" hidden="1" customHeight="1">
      <c r="A313" s="2032"/>
      <c r="B313" s="2033"/>
      <c r="C313" s="2034" t="s">
        <v>2847</v>
      </c>
      <c r="D313" s="2035"/>
      <c r="E313" s="2036"/>
      <c r="F313" s="2037">
        <f t="shared" si="175"/>
        <v>0</v>
      </c>
      <c r="G313" s="2038"/>
      <c r="H313" s="2038"/>
      <c r="I313" s="2038"/>
      <c r="J313" s="2038"/>
      <c r="K313" s="2038"/>
      <c r="L313" s="2039"/>
      <c r="M313" s="2039"/>
      <c r="N313" s="2040"/>
    </row>
    <row r="314" spans="1:14" ht="13.5" hidden="1" customHeight="1">
      <c r="A314" s="2032"/>
      <c r="B314" s="2033"/>
      <c r="C314" s="2034" t="s">
        <v>2527</v>
      </c>
      <c r="D314" s="2035"/>
      <c r="E314" s="2036"/>
      <c r="F314" s="2037">
        <f t="shared" si="175"/>
        <v>0</v>
      </c>
      <c r="G314" s="2038"/>
      <c r="H314" s="2038"/>
      <c r="I314" s="2038"/>
      <c r="J314" s="2038"/>
      <c r="K314" s="2038"/>
      <c r="L314" s="2039"/>
      <c r="M314" s="2039"/>
      <c r="N314" s="2040"/>
    </row>
    <row r="315" spans="1:14" ht="13.5" hidden="1" customHeight="1">
      <c r="A315" s="2041"/>
      <c r="B315" s="2042"/>
      <c r="C315" s="2043" t="s">
        <v>2848</v>
      </c>
      <c r="D315" s="2044"/>
      <c r="E315" s="2027"/>
      <c r="F315" s="2045">
        <f t="shared" si="175"/>
        <v>0</v>
      </c>
      <c r="G315" s="2029"/>
      <c r="H315" s="2029"/>
      <c r="I315" s="2029"/>
      <c r="J315" s="2029"/>
      <c r="K315" s="2029"/>
      <c r="L315" s="2030"/>
      <c r="M315" s="2030"/>
      <c r="N315" s="2031"/>
    </row>
    <row r="316" spans="1:14" ht="13.5" hidden="1" customHeight="1">
      <c r="A316" s="2046"/>
      <c r="B316" s="2047"/>
      <c r="C316" s="2048" t="s">
        <v>2601</v>
      </c>
      <c r="D316" s="2049"/>
      <c r="E316" s="2050"/>
      <c r="F316" s="2051">
        <f t="shared" si="175"/>
        <v>0</v>
      </c>
      <c r="G316" s="2052"/>
      <c r="H316" s="2052"/>
      <c r="I316" s="2052"/>
      <c r="J316" s="2052"/>
      <c r="K316" s="2052"/>
      <c r="L316" s="2053"/>
      <c r="M316" s="2053"/>
      <c r="N316" s="2054"/>
    </row>
    <row r="317" spans="1:14" ht="13.5" customHeight="1">
      <c r="A317" s="1985"/>
      <c r="B317" s="2055" t="s">
        <v>2921</v>
      </c>
      <c r="C317" s="2056"/>
      <c r="D317" s="2056"/>
      <c r="E317" s="2057"/>
      <c r="F317" s="2006">
        <f t="shared" si="175"/>
        <v>0</v>
      </c>
      <c r="G317" s="2058">
        <f t="shared" ref="G317:N317" si="180">SUM(G392:G407)</f>
        <v>0</v>
      </c>
      <c r="H317" s="2058">
        <f t="shared" si="180"/>
        <v>0</v>
      </c>
      <c r="I317" s="2058">
        <f t="shared" si="180"/>
        <v>0</v>
      </c>
      <c r="J317" s="2058">
        <f>SUM(J392:J407)</f>
        <v>0</v>
      </c>
      <c r="K317" s="2058">
        <f>SUM(K392:K407)</f>
        <v>0</v>
      </c>
      <c r="L317" s="2058">
        <f t="shared" si="180"/>
        <v>0</v>
      </c>
      <c r="M317" s="2058">
        <f t="shared" si="180"/>
        <v>0</v>
      </c>
      <c r="N317" s="2059">
        <f t="shared" si="180"/>
        <v>0</v>
      </c>
    </row>
    <row r="318" spans="1:14" ht="13.5" customHeight="1">
      <c r="A318" s="1759"/>
      <c r="B318" s="1740"/>
      <c r="C318" s="2060" t="s">
        <v>2849</v>
      </c>
      <c r="D318" s="2061"/>
      <c r="E318" s="2062"/>
      <c r="F318" s="2013">
        <f t="shared" si="175"/>
        <v>0</v>
      </c>
      <c r="G318" s="2063">
        <f t="shared" ref="G318:N318" si="181">G317-G321</f>
        <v>0</v>
      </c>
      <c r="H318" s="2063">
        <f t="shared" si="181"/>
        <v>0</v>
      </c>
      <c r="I318" s="2063">
        <f t="shared" si="181"/>
        <v>0</v>
      </c>
      <c r="J318" s="2063">
        <f>J317-J321</f>
        <v>0</v>
      </c>
      <c r="K318" s="2063">
        <f>K317-K321</f>
        <v>0</v>
      </c>
      <c r="L318" s="2063">
        <f t="shared" si="181"/>
        <v>0</v>
      </c>
      <c r="M318" s="2063">
        <f t="shared" si="181"/>
        <v>0</v>
      </c>
      <c r="N318" s="2064">
        <f t="shared" si="181"/>
        <v>0</v>
      </c>
    </row>
    <row r="319" spans="1:14" ht="13.5" customHeight="1">
      <c r="A319" s="1759"/>
      <c r="B319" s="1740"/>
      <c r="C319" s="2065"/>
      <c r="D319" s="2065"/>
      <c r="E319" s="2066"/>
      <c r="F319" s="2067" t="s">
        <v>2753</v>
      </c>
      <c r="G319" s="2068">
        <f t="shared" ref="G319:N319" si="182">SUM(G396:G407)</f>
        <v>0</v>
      </c>
      <c r="H319" s="2068">
        <f t="shared" si="182"/>
        <v>0</v>
      </c>
      <c r="I319" s="2068">
        <f t="shared" si="182"/>
        <v>0</v>
      </c>
      <c r="J319" s="2068">
        <f>SUM(J396:J407)</f>
        <v>0</v>
      </c>
      <c r="K319" s="2068">
        <f>SUM(K396:K407)</f>
        <v>0</v>
      </c>
      <c r="L319" s="2068">
        <f t="shared" si="182"/>
        <v>0</v>
      </c>
      <c r="M319" s="2068">
        <f t="shared" si="182"/>
        <v>0</v>
      </c>
      <c r="N319" s="2069">
        <f t="shared" si="182"/>
        <v>0</v>
      </c>
    </row>
    <row r="320" spans="1:14" ht="13.5" customHeight="1">
      <c r="A320" s="1759"/>
      <c r="B320" s="1740"/>
      <c r="C320" s="2065"/>
      <c r="D320" s="2065"/>
      <c r="E320" s="2066"/>
      <c r="F320" s="2067" t="s">
        <v>2599</v>
      </c>
      <c r="G320" s="2068">
        <f t="shared" ref="G320:N320" si="183">SUM(G396:G403,G355)</f>
        <v>0</v>
      </c>
      <c r="H320" s="2068">
        <f t="shared" si="183"/>
        <v>0</v>
      </c>
      <c r="I320" s="2068">
        <f t="shared" si="183"/>
        <v>0</v>
      </c>
      <c r="J320" s="2068">
        <f>SUM(J396:J403,J355)</f>
        <v>0</v>
      </c>
      <c r="K320" s="2068">
        <f>SUM(K396:K403,K355)</f>
        <v>0</v>
      </c>
      <c r="L320" s="2068">
        <f t="shared" si="183"/>
        <v>0</v>
      </c>
      <c r="M320" s="2068">
        <f t="shared" si="183"/>
        <v>0</v>
      </c>
      <c r="N320" s="2069">
        <f t="shared" si="183"/>
        <v>0</v>
      </c>
    </row>
    <row r="321" spans="1:14" ht="13.5" customHeight="1">
      <c r="A321" s="2070"/>
      <c r="B321" s="2071"/>
      <c r="C321" s="2072" t="s">
        <v>2754</v>
      </c>
      <c r="D321" s="2072"/>
      <c r="E321" s="2073"/>
      <c r="F321" s="2074">
        <f t="shared" ref="F321:F330" si="184">SUM(G321:N321)</f>
        <v>0</v>
      </c>
      <c r="G321" s="2075">
        <f t="shared" ref="G321:N321" si="185">G311+G350+G351+G352+G355+G354+G395+G396</f>
        <v>0</v>
      </c>
      <c r="H321" s="2075">
        <f t="shared" si="185"/>
        <v>0</v>
      </c>
      <c r="I321" s="2075">
        <f t="shared" si="185"/>
        <v>0</v>
      </c>
      <c r="J321" s="2075">
        <f>J311+J350+J351+J352+J355+J354+J395+J396</f>
        <v>0</v>
      </c>
      <c r="K321" s="2075">
        <f>K311+K350+K351+K352+K355+K354+K395+K396</f>
        <v>0</v>
      </c>
      <c r="L321" s="2075">
        <f t="shared" si="185"/>
        <v>0</v>
      </c>
      <c r="M321" s="2075">
        <f t="shared" si="185"/>
        <v>0</v>
      </c>
      <c r="N321" s="2076">
        <f t="shared" si="185"/>
        <v>0</v>
      </c>
    </row>
    <row r="322" spans="1:14" ht="13.5" customHeight="1">
      <c r="A322" s="1759"/>
      <c r="B322" s="2077" t="s">
        <v>2755</v>
      </c>
      <c r="C322" s="2077"/>
      <c r="D322" s="2077"/>
      <c r="E322" s="2078"/>
      <c r="F322" s="2079">
        <f t="shared" si="184"/>
        <v>0</v>
      </c>
      <c r="G322" s="2080">
        <f t="shared" ref="G322:N322" si="186">G323+G326</f>
        <v>0</v>
      </c>
      <c r="H322" s="2080">
        <f t="shared" si="186"/>
        <v>0</v>
      </c>
      <c r="I322" s="2080">
        <f t="shared" si="186"/>
        <v>0</v>
      </c>
      <c r="J322" s="2080">
        <f>J323+J326</f>
        <v>0</v>
      </c>
      <c r="K322" s="2080">
        <f>K323+K326</f>
        <v>0</v>
      </c>
      <c r="L322" s="2080">
        <f t="shared" si="186"/>
        <v>0</v>
      </c>
      <c r="M322" s="2080">
        <f t="shared" si="186"/>
        <v>0</v>
      </c>
      <c r="N322" s="2081">
        <f t="shared" si="186"/>
        <v>0</v>
      </c>
    </row>
    <row r="323" spans="1:14" ht="13.5" customHeight="1">
      <c r="A323" s="1759"/>
      <c r="B323" s="1740"/>
      <c r="C323" s="2082" t="s">
        <v>2603</v>
      </c>
      <c r="D323" s="2082"/>
      <c r="E323" s="2083"/>
      <c r="F323" s="2013">
        <f t="shared" si="184"/>
        <v>0</v>
      </c>
      <c r="G323" s="2063">
        <f t="shared" ref="G323:N323" si="187">SUM(G324:G325)</f>
        <v>0</v>
      </c>
      <c r="H323" s="2063">
        <f t="shared" si="187"/>
        <v>0</v>
      </c>
      <c r="I323" s="2063">
        <f t="shared" si="187"/>
        <v>0</v>
      </c>
      <c r="J323" s="2063">
        <f>SUM(J324:J325)</f>
        <v>0</v>
      </c>
      <c r="K323" s="2063">
        <f>SUM(K324:K325)</f>
        <v>0</v>
      </c>
      <c r="L323" s="2063">
        <f t="shared" si="187"/>
        <v>0</v>
      </c>
      <c r="M323" s="2063">
        <f t="shared" si="187"/>
        <v>0</v>
      </c>
      <c r="N323" s="2064">
        <f t="shared" si="187"/>
        <v>0</v>
      </c>
    </row>
    <row r="324" spans="1:14" ht="13.5" customHeight="1">
      <c r="A324" s="1759"/>
      <c r="B324" s="1740"/>
      <c r="C324" s="2084" t="s">
        <v>2605</v>
      </c>
      <c r="D324" s="2084"/>
      <c r="E324" s="2066"/>
      <c r="F324" s="2085">
        <f t="shared" si="184"/>
        <v>0</v>
      </c>
      <c r="G324" s="2068">
        <f t="shared" ref="G324:N324" si="188">+G410+G412+G414+G415</f>
        <v>0</v>
      </c>
      <c r="H324" s="2068">
        <f t="shared" si="188"/>
        <v>0</v>
      </c>
      <c r="I324" s="2068">
        <f t="shared" si="188"/>
        <v>0</v>
      </c>
      <c r="J324" s="2068">
        <f>+J410+J412+J414+J415</f>
        <v>0</v>
      </c>
      <c r="K324" s="2068">
        <f>+K410+K412+K414+K415</f>
        <v>0</v>
      </c>
      <c r="L324" s="2068">
        <f t="shared" si="188"/>
        <v>0</v>
      </c>
      <c r="M324" s="2068">
        <f t="shared" si="188"/>
        <v>0</v>
      </c>
      <c r="N324" s="2069">
        <f t="shared" si="188"/>
        <v>0</v>
      </c>
    </row>
    <row r="325" spans="1:14" ht="13.5" customHeight="1">
      <c r="A325" s="1759"/>
      <c r="B325" s="1740"/>
      <c r="C325" s="2084" t="s">
        <v>2610</v>
      </c>
      <c r="D325" s="2084"/>
      <c r="E325" s="2066"/>
      <c r="F325" s="2085">
        <f t="shared" si="184"/>
        <v>0</v>
      </c>
      <c r="G325" s="2068">
        <f t="shared" ref="G325:N325" si="189">SUM(G416:G429)</f>
        <v>0</v>
      </c>
      <c r="H325" s="2068">
        <f t="shared" si="189"/>
        <v>0</v>
      </c>
      <c r="I325" s="2068">
        <f t="shared" si="189"/>
        <v>0</v>
      </c>
      <c r="J325" s="2068">
        <f>SUM(J416:J429)</f>
        <v>0</v>
      </c>
      <c r="K325" s="2068">
        <f>SUM(K416:K429)</f>
        <v>0</v>
      </c>
      <c r="L325" s="2068">
        <f t="shared" si="189"/>
        <v>0</v>
      </c>
      <c r="M325" s="2068">
        <f t="shared" si="189"/>
        <v>0</v>
      </c>
      <c r="N325" s="2069">
        <f t="shared" si="189"/>
        <v>0</v>
      </c>
    </row>
    <row r="326" spans="1:14" ht="13.5" customHeight="1">
      <c r="A326" s="2086"/>
      <c r="B326" s="2087"/>
      <c r="C326" s="2088" t="s">
        <v>2608</v>
      </c>
      <c r="D326" s="2088"/>
      <c r="E326" s="2089"/>
      <c r="F326" s="2090">
        <f t="shared" si="184"/>
        <v>0</v>
      </c>
      <c r="G326" s="2091">
        <f t="shared" ref="G326:N326" si="190">SUM(G327:G329)</f>
        <v>0</v>
      </c>
      <c r="H326" s="2091">
        <f t="shared" si="190"/>
        <v>0</v>
      </c>
      <c r="I326" s="2091">
        <f t="shared" si="190"/>
        <v>0</v>
      </c>
      <c r="J326" s="2091">
        <f>SUM(J327:J329)</f>
        <v>0</v>
      </c>
      <c r="K326" s="2091">
        <f>SUM(K327:K329)</f>
        <v>0</v>
      </c>
      <c r="L326" s="2091">
        <f t="shared" si="190"/>
        <v>0</v>
      </c>
      <c r="M326" s="2091">
        <f t="shared" si="190"/>
        <v>0</v>
      </c>
      <c r="N326" s="2092">
        <f t="shared" si="190"/>
        <v>0</v>
      </c>
    </row>
    <row r="327" spans="1:14" ht="13.5" customHeight="1">
      <c r="A327" s="2086"/>
      <c r="B327" s="2087"/>
      <c r="C327" s="2093" t="s">
        <v>2605</v>
      </c>
      <c r="D327" s="2093"/>
      <c r="E327" s="2089"/>
      <c r="F327" s="2090">
        <f t="shared" si="184"/>
        <v>0</v>
      </c>
      <c r="G327" s="2091">
        <f t="shared" ref="G327:N327" si="191">+G452-G467</f>
        <v>0</v>
      </c>
      <c r="H327" s="2091">
        <f t="shared" si="191"/>
        <v>0</v>
      </c>
      <c r="I327" s="2091">
        <f t="shared" si="191"/>
        <v>0</v>
      </c>
      <c r="J327" s="2091">
        <f>+J452-J467</f>
        <v>0</v>
      </c>
      <c r="K327" s="2091">
        <f>+K452-K467</f>
        <v>0</v>
      </c>
      <c r="L327" s="2091">
        <f t="shared" si="191"/>
        <v>0</v>
      </c>
      <c r="M327" s="2091">
        <f t="shared" si="191"/>
        <v>0</v>
      </c>
      <c r="N327" s="2092">
        <f t="shared" si="191"/>
        <v>0</v>
      </c>
    </row>
    <row r="328" spans="1:14" ht="13.5" customHeight="1">
      <c r="A328" s="2086"/>
      <c r="B328" s="2087"/>
      <c r="C328" s="2093" t="s">
        <v>2609</v>
      </c>
      <c r="D328" s="2093"/>
      <c r="E328" s="2089"/>
      <c r="F328" s="2090">
        <f t="shared" si="184"/>
        <v>0</v>
      </c>
      <c r="G328" s="2091">
        <f t="shared" ref="G328:N328" si="192">+G453+G454</f>
        <v>0</v>
      </c>
      <c r="H328" s="2091">
        <f t="shared" si="192"/>
        <v>0</v>
      </c>
      <c r="I328" s="2091">
        <f t="shared" si="192"/>
        <v>0</v>
      </c>
      <c r="J328" s="2091">
        <f>+J453+J454</f>
        <v>0</v>
      </c>
      <c r="K328" s="2091">
        <f>+K453+K454</f>
        <v>0</v>
      </c>
      <c r="L328" s="2091">
        <f t="shared" si="192"/>
        <v>0</v>
      </c>
      <c r="M328" s="2091">
        <f t="shared" si="192"/>
        <v>0</v>
      </c>
      <c r="N328" s="2092">
        <f t="shared" si="192"/>
        <v>0</v>
      </c>
    </row>
    <row r="329" spans="1:14" ht="13.5" customHeight="1">
      <c r="A329" s="2086"/>
      <c r="B329" s="2094"/>
      <c r="C329" s="2026" t="s">
        <v>2610</v>
      </c>
      <c r="D329" s="2026"/>
      <c r="E329" s="2095"/>
      <c r="F329" s="2096">
        <f t="shared" si="184"/>
        <v>0</v>
      </c>
      <c r="G329" s="2097">
        <f t="shared" ref="G329:N329" si="193">SUM(G455:G459)</f>
        <v>0</v>
      </c>
      <c r="H329" s="2097">
        <f t="shared" si="193"/>
        <v>0</v>
      </c>
      <c r="I329" s="2097">
        <f t="shared" si="193"/>
        <v>0</v>
      </c>
      <c r="J329" s="2097">
        <f>SUM(J455:J459)</f>
        <v>0</v>
      </c>
      <c r="K329" s="2097">
        <f>SUM(K455:K459)</f>
        <v>0</v>
      </c>
      <c r="L329" s="2097">
        <f t="shared" si="193"/>
        <v>0</v>
      </c>
      <c r="M329" s="2097">
        <f t="shared" si="193"/>
        <v>0</v>
      </c>
      <c r="N329" s="2098">
        <f t="shared" si="193"/>
        <v>0</v>
      </c>
    </row>
    <row r="330" spans="1:14" ht="13.5" customHeight="1">
      <c r="A330" s="2099"/>
      <c r="B330" s="2056" t="s">
        <v>2756</v>
      </c>
      <c r="C330" s="2100"/>
      <c r="D330" s="2056"/>
      <c r="E330" s="2101"/>
      <c r="F330" s="2006">
        <f t="shared" si="184"/>
        <v>0</v>
      </c>
      <c r="G330" s="2102">
        <f t="shared" ref="G330:N330" si="194">G317+G322</f>
        <v>0</v>
      </c>
      <c r="H330" s="2102">
        <f t="shared" si="194"/>
        <v>0</v>
      </c>
      <c r="I330" s="2102">
        <f t="shared" si="194"/>
        <v>0</v>
      </c>
      <c r="J330" s="2102">
        <f>J317+J322</f>
        <v>0</v>
      </c>
      <c r="K330" s="2102">
        <f>K317+K322</f>
        <v>0</v>
      </c>
      <c r="L330" s="2102">
        <f t="shared" si="194"/>
        <v>0</v>
      </c>
      <c r="M330" s="2102">
        <f t="shared" si="194"/>
        <v>0</v>
      </c>
      <c r="N330" s="2103">
        <f t="shared" si="194"/>
        <v>0</v>
      </c>
    </row>
    <row r="331" spans="1:14" ht="13.5" customHeight="1">
      <c r="A331" s="2004"/>
      <c r="B331" s="2004"/>
      <c r="C331" s="2104" t="s">
        <v>2812</v>
      </c>
      <c r="D331" s="2104"/>
      <c r="E331" s="2105"/>
      <c r="F331" s="2106"/>
      <c r="G331" s="2107" t="s">
        <v>2614</v>
      </c>
      <c r="H331" s="2108"/>
      <c r="I331" s="2108"/>
      <c r="J331" s="2108"/>
      <c r="K331" s="2108"/>
      <c r="L331" s="2108"/>
      <c r="M331" s="2108"/>
      <c r="N331" s="2108"/>
    </row>
    <row r="332" spans="1:14" ht="13.5" customHeight="1">
      <c r="A332" s="1985"/>
      <c r="B332" s="1986"/>
      <c r="C332" s="1986"/>
      <c r="D332" s="1986"/>
      <c r="E332" s="1988"/>
      <c r="F332" s="1988" t="s">
        <v>2505</v>
      </c>
      <c r="G332" s="1990" t="str">
        <f t="shared" ref="G332:N332" si="195">+G302</f>
        <v>工事１</v>
      </c>
      <c r="H332" s="1990" t="str">
        <f t="shared" si="195"/>
        <v>工事２</v>
      </c>
      <c r="I332" s="1990" t="str">
        <f t="shared" si="195"/>
        <v>工事３</v>
      </c>
      <c r="J332" s="1990" t="str">
        <f>+J302</f>
        <v>工事３</v>
      </c>
      <c r="K332" s="1990" t="str">
        <f>+K302</f>
        <v>工事３</v>
      </c>
      <c r="L332" s="1990" t="str">
        <f t="shared" si="195"/>
        <v>工事４</v>
      </c>
      <c r="M332" s="1990" t="str">
        <f t="shared" si="195"/>
        <v>工事５</v>
      </c>
      <c r="N332" s="1991" t="str">
        <f t="shared" si="195"/>
        <v>工事６</v>
      </c>
    </row>
    <row r="333" spans="1:14" ht="13.5" customHeight="1">
      <c r="A333" s="2110" t="s">
        <v>2757</v>
      </c>
      <c r="B333" s="2111"/>
      <c r="C333" s="2112"/>
      <c r="D333" s="2112"/>
      <c r="E333" s="2113"/>
      <c r="F333" s="2114"/>
      <c r="G333" s="2115"/>
      <c r="H333" s="2115"/>
      <c r="I333" s="2115"/>
      <c r="J333" s="2115"/>
      <c r="K333" s="2115"/>
      <c r="L333" s="2115"/>
      <c r="M333" s="2115"/>
      <c r="N333" s="2116"/>
    </row>
    <row r="334" spans="1:14" ht="13.5" customHeight="1">
      <c r="A334" s="2984"/>
      <c r="B334" s="2987" t="s">
        <v>2728</v>
      </c>
      <c r="C334" s="2061" t="s">
        <v>2530</v>
      </c>
      <c r="D334" s="2061"/>
      <c r="E334" s="2083"/>
      <c r="F334" s="2013">
        <f t="shared" ref="F334:F355" si="196">SUM(G334:N334)</f>
        <v>0</v>
      </c>
      <c r="G334" s="2520">
        <f t="shared" ref="G334:N336" si="197">G22+G121</f>
        <v>0</v>
      </c>
      <c r="H334" s="2520">
        <f t="shared" si="197"/>
        <v>0</v>
      </c>
      <c r="I334" s="2520">
        <f t="shared" si="197"/>
        <v>0</v>
      </c>
      <c r="J334" s="2520">
        <f t="shared" si="197"/>
        <v>0</v>
      </c>
      <c r="K334" s="2520">
        <f t="shared" si="197"/>
        <v>0</v>
      </c>
      <c r="L334" s="2520">
        <f t="shared" si="197"/>
        <v>0</v>
      </c>
      <c r="M334" s="2520">
        <f t="shared" si="197"/>
        <v>0</v>
      </c>
      <c r="N334" s="2521">
        <f t="shared" si="197"/>
        <v>0</v>
      </c>
    </row>
    <row r="335" spans="1:14" ht="13.5" customHeight="1">
      <c r="A335" s="2985"/>
      <c r="B335" s="2988"/>
      <c r="C335" s="2119" t="s">
        <v>2852</v>
      </c>
      <c r="D335" s="2119"/>
      <c r="E335" s="2120"/>
      <c r="F335" s="2121">
        <f t="shared" si="196"/>
        <v>0</v>
      </c>
      <c r="G335" s="2068">
        <f t="shared" si="197"/>
        <v>0</v>
      </c>
      <c r="H335" s="2068">
        <f t="shared" si="197"/>
        <v>0</v>
      </c>
      <c r="I335" s="2068">
        <f t="shared" si="197"/>
        <v>0</v>
      </c>
      <c r="J335" s="2068">
        <f t="shared" si="197"/>
        <v>0</v>
      </c>
      <c r="K335" s="2068">
        <f t="shared" si="197"/>
        <v>0</v>
      </c>
      <c r="L335" s="2068">
        <f t="shared" si="197"/>
        <v>0</v>
      </c>
      <c r="M335" s="2068">
        <f t="shared" si="197"/>
        <v>0</v>
      </c>
      <c r="N335" s="2069">
        <f t="shared" si="197"/>
        <v>0</v>
      </c>
    </row>
    <row r="336" spans="1:14" ht="13.5" customHeight="1">
      <c r="A336" s="2985"/>
      <c r="B336" s="2988"/>
      <c r="C336" s="2124" t="s">
        <v>2853</v>
      </c>
      <c r="D336" s="2124"/>
      <c r="E336" s="2125"/>
      <c r="F336" s="2085">
        <f t="shared" si="196"/>
        <v>0</v>
      </c>
      <c r="G336" s="2068">
        <f t="shared" si="197"/>
        <v>0</v>
      </c>
      <c r="H336" s="2068">
        <f t="shared" si="197"/>
        <v>0</v>
      </c>
      <c r="I336" s="2068">
        <f t="shared" si="197"/>
        <v>0</v>
      </c>
      <c r="J336" s="2068">
        <f t="shared" si="197"/>
        <v>0</v>
      </c>
      <c r="K336" s="2068">
        <f t="shared" si="197"/>
        <v>0</v>
      </c>
      <c r="L336" s="2068">
        <f t="shared" si="197"/>
        <v>0</v>
      </c>
      <c r="M336" s="2068">
        <f t="shared" si="197"/>
        <v>0</v>
      </c>
      <c r="N336" s="2069">
        <f t="shared" si="197"/>
        <v>0</v>
      </c>
    </row>
    <row r="337" spans="1:14" ht="13.5" customHeight="1">
      <c r="A337" s="2985"/>
      <c r="B337" s="2989"/>
      <c r="C337" s="2126" t="s">
        <v>2854</v>
      </c>
      <c r="D337" s="2127"/>
      <c r="E337" s="2066"/>
      <c r="F337" s="2085">
        <f t="shared" si="196"/>
        <v>0</v>
      </c>
      <c r="G337" s="2068">
        <f t="shared" ref="G337:N337" si="198">IF(G304="積上げ",0,G385)</f>
        <v>0</v>
      </c>
      <c r="H337" s="2068">
        <f t="shared" si="198"/>
        <v>0</v>
      </c>
      <c r="I337" s="2068">
        <f t="shared" si="198"/>
        <v>0</v>
      </c>
      <c r="J337" s="2068">
        <f>IF(J304="積上げ",0,J385)</f>
        <v>0</v>
      </c>
      <c r="K337" s="2068">
        <f>IF(K304="積上げ",0,K385)</f>
        <v>0</v>
      </c>
      <c r="L337" s="2068">
        <f t="shared" si="198"/>
        <v>0</v>
      </c>
      <c r="M337" s="2068">
        <f t="shared" si="198"/>
        <v>0</v>
      </c>
      <c r="N337" s="2069">
        <f t="shared" si="198"/>
        <v>0</v>
      </c>
    </row>
    <row r="338" spans="1:14" ht="13.5" customHeight="1">
      <c r="A338" s="2985"/>
      <c r="B338" s="2990" t="s">
        <v>2729</v>
      </c>
      <c r="C338" s="2991" t="s">
        <v>2855</v>
      </c>
      <c r="D338" s="2992"/>
      <c r="E338" s="2993"/>
      <c r="F338" s="2085">
        <f t="shared" si="196"/>
        <v>0</v>
      </c>
      <c r="G338" s="2068">
        <f t="shared" ref="G338:N343" si="199">G26+G125</f>
        <v>0</v>
      </c>
      <c r="H338" s="2068">
        <f t="shared" si="199"/>
        <v>0</v>
      </c>
      <c r="I338" s="2068">
        <f t="shared" si="199"/>
        <v>0</v>
      </c>
      <c r="J338" s="2068">
        <f t="shared" si="199"/>
        <v>0</v>
      </c>
      <c r="K338" s="2068">
        <f t="shared" si="199"/>
        <v>0</v>
      </c>
      <c r="L338" s="2068">
        <f t="shared" si="199"/>
        <v>0</v>
      </c>
      <c r="M338" s="2068">
        <f t="shared" si="199"/>
        <v>0</v>
      </c>
      <c r="N338" s="2069">
        <f t="shared" si="199"/>
        <v>0</v>
      </c>
    </row>
    <row r="339" spans="1:14" ht="13.5" customHeight="1">
      <c r="A339" s="2985"/>
      <c r="B339" s="2988"/>
      <c r="C339" s="2127" t="s">
        <v>2922</v>
      </c>
      <c r="D339" s="2127"/>
      <c r="E339" s="2066"/>
      <c r="F339" s="2067">
        <f t="shared" si="196"/>
        <v>0</v>
      </c>
      <c r="G339" s="2522">
        <f t="shared" si="199"/>
        <v>0</v>
      </c>
      <c r="H339" s="2522">
        <f t="shared" si="199"/>
        <v>0</v>
      </c>
      <c r="I339" s="2522">
        <f t="shared" si="199"/>
        <v>0</v>
      </c>
      <c r="J339" s="2522">
        <f t="shared" si="199"/>
        <v>0</v>
      </c>
      <c r="K339" s="2522">
        <f t="shared" si="199"/>
        <v>0</v>
      </c>
      <c r="L339" s="2522">
        <f t="shared" si="199"/>
        <v>0</v>
      </c>
      <c r="M339" s="2522">
        <f t="shared" si="199"/>
        <v>0</v>
      </c>
      <c r="N339" s="2523">
        <f t="shared" si="199"/>
        <v>0</v>
      </c>
    </row>
    <row r="340" spans="1:14" ht="13.5" customHeight="1">
      <c r="A340" s="2985"/>
      <c r="B340" s="2988"/>
      <c r="C340" s="2135" t="s">
        <v>2857</v>
      </c>
      <c r="D340" s="2127"/>
      <c r="E340" s="2066"/>
      <c r="F340" s="2067">
        <f t="shared" si="196"/>
        <v>0</v>
      </c>
      <c r="G340" s="2522">
        <f t="shared" si="199"/>
        <v>0</v>
      </c>
      <c r="H340" s="2522">
        <f t="shared" si="199"/>
        <v>0</v>
      </c>
      <c r="I340" s="2522">
        <f t="shared" si="199"/>
        <v>0</v>
      </c>
      <c r="J340" s="2522">
        <f t="shared" si="199"/>
        <v>0</v>
      </c>
      <c r="K340" s="2522">
        <f t="shared" si="199"/>
        <v>0</v>
      </c>
      <c r="L340" s="2522">
        <f t="shared" si="199"/>
        <v>0</v>
      </c>
      <c r="M340" s="2522">
        <f t="shared" si="199"/>
        <v>0</v>
      </c>
      <c r="N340" s="2523">
        <f t="shared" si="199"/>
        <v>0</v>
      </c>
    </row>
    <row r="341" spans="1:14" ht="13.5" customHeight="1">
      <c r="A341" s="2985"/>
      <c r="B341" s="2988"/>
      <c r="C341" s="2127" t="s">
        <v>2923</v>
      </c>
      <c r="D341" s="2127"/>
      <c r="E341" s="2066"/>
      <c r="F341" s="2067">
        <f t="shared" si="196"/>
        <v>0</v>
      </c>
      <c r="G341" s="2522">
        <f t="shared" si="199"/>
        <v>0</v>
      </c>
      <c r="H341" s="2522">
        <f t="shared" si="199"/>
        <v>0</v>
      </c>
      <c r="I341" s="2522">
        <f t="shared" si="199"/>
        <v>0</v>
      </c>
      <c r="J341" s="2522">
        <f t="shared" si="199"/>
        <v>0</v>
      </c>
      <c r="K341" s="2522">
        <f t="shared" si="199"/>
        <v>0</v>
      </c>
      <c r="L341" s="2522">
        <f t="shared" si="199"/>
        <v>0</v>
      </c>
      <c r="M341" s="2522">
        <f t="shared" si="199"/>
        <v>0</v>
      </c>
      <c r="N341" s="2523">
        <f t="shared" si="199"/>
        <v>0</v>
      </c>
    </row>
    <row r="342" spans="1:14" ht="13.5" customHeight="1">
      <c r="A342" s="2985"/>
      <c r="B342" s="2988"/>
      <c r="C342" s="2127" t="s">
        <v>2924</v>
      </c>
      <c r="D342" s="2127"/>
      <c r="E342" s="2066"/>
      <c r="F342" s="2067">
        <f t="shared" si="196"/>
        <v>0</v>
      </c>
      <c r="G342" s="2522">
        <f t="shared" si="199"/>
        <v>0</v>
      </c>
      <c r="H342" s="2522">
        <f t="shared" si="199"/>
        <v>0</v>
      </c>
      <c r="I342" s="2522">
        <f t="shared" si="199"/>
        <v>0</v>
      </c>
      <c r="J342" s="2522">
        <f t="shared" si="199"/>
        <v>0</v>
      </c>
      <c r="K342" s="2522">
        <f t="shared" si="199"/>
        <v>0</v>
      </c>
      <c r="L342" s="2522">
        <f t="shared" si="199"/>
        <v>0</v>
      </c>
      <c r="M342" s="2522">
        <f t="shared" si="199"/>
        <v>0</v>
      </c>
      <c r="N342" s="2523">
        <f t="shared" si="199"/>
        <v>0</v>
      </c>
    </row>
    <row r="343" spans="1:14" ht="13.5" customHeight="1">
      <c r="A343" s="2985"/>
      <c r="B343" s="2988"/>
      <c r="C343" s="2136" t="s">
        <v>2925</v>
      </c>
      <c r="D343" s="2127"/>
      <c r="E343" s="2066"/>
      <c r="F343" s="2067">
        <f t="shared" si="196"/>
        <v>0</v>
      </c>
      <c r="G343" s="2522">
        <f t="shared" si="199"/>
        <v>0</v>
      </c>
      <c r="H343" s="2522">
        <f t="shared" si="199"/>
        <v>0</v>
      </c>
      <c r="I343" s="2522">
        <f t="shared" si="199"/>
        <v>0</v>
      </c>
      <c r="J343" s="2522">
        <f t="shared" si="199"/>
        <v>0</v>
      </c>
      <c r="K343" s="2522">
        <f t="shared" si="199"/>
        <v>0</v>
      </c>
      <c r="L343" s="2522">
        <f t="shared" si="199"/>
        <v>0</v>
      </c>
      <c r="M343" s="2522">
        <f t="shared" si="199"/>
        <v>0</v>
      </c>
      <c r="N343" s="2523">
        <f t="shared" si="199"/>
        <v>0</v>
      </c>
    </row>
    <row r="344" spans="1:14" ht="13.5" customHeight="1">
      <c r="A344" s="2985"/>
      <c r="B344" s="2988"/>
      <c r="C344" s="2127"/>
      <c r="D344" s="2127"/>
      <c r="E344" s="2066"/>
      <c r="F344" s="2067">
        <f t="shared" si="196"/>
        <v>0</v>
      </c>
      <c r="G344" s="1905"/>
      <c r="H344" s="1905"/>
      <c r="I344" s="1905"/>
      <c r="J344" s="1905"/>
      <c r="K344" s="1905"/>
      <c r="L344" s="2137"/>
      <c r="M344" s="2137"/>
      <c r="N344" s="2138"/>
    </row>
    <row r="345" spans="1:14" ht="13.5" customHeight="1">
      <c r="A345" s="2985"/>
      <c r="B345" s="2989"/>
      <c r="C345" s="2139"/>
      <c r="D345" s="2140"/>
      <c r="E345" s="2141"/>
      <c r="F345" s="2067">
        <f t="shared" si="196"/>
        <v>0</v>
      </c>
      <c r="G345" s="1905"/>
      <c r="H345" s="1905"/>
      <c r="I345" s="1905"/>
      <c r="J345" s="1905"/>
      <c r="K345" s="1905"/>
      <c r="L345" s="2137"/>
      <c r="M345" s="2137"/>
      <c r="N345" s="2138"/>
    </row>
    <row r="346" spans="1:14" ht="13.5" customHeight="1">
      <c r="A346" s="2985"/>
      <c r="B346" s="2990" t="s">
        <v>477</v>
      </c>
      <c r="C346" s="2142" t="s">
        <v>2926</v>
      </c>
      <c r="D346" s="2127"/>
      <c r="E346" s="2066"/>
      <c r="F346" s="2067">
        <f t="shared" si="196"/>
        <v>0</v>
      </c>
      <c r="G346" s="2524">
        <f t="shared" ref="G346:N355" si="200">G34+G133</f>
        <v>0</v>
      </c>
      <c r="H346" s="2524">
        <f t="shared" si="200"/>
        <v>0</v>
      </c>
      <c r="I346" s="2524">
        <f t="shared" si="200"/>
        <v>0</v>
      </c>
      <c r="J346" s="2524">
        <f t="shared" si="200"/>
        <v>0</v>
      </c>
      <c r="K346" s="2524">
        <f t="shared" si="200"/>
        <v>0</v>
      </c>
      <c r="L346" s="2524">
        <f t="shared" si="200"/>
        <v>0</v>
      </c>
      <c r="M346" s="2524">
        <f t="shared" si="200"/>
        <v>0</v>
      </c>
      <c r="N346" s="2525">
        <f t="shared" si="200"/>
        <v>0</v>
      </c>
    </row>
    <row r="347" spans="1:14" ht="13.5" customHeight="1">
      <c r="A347" s="2985"/>
      <c r="B347" s="2988"/>
      <c r="C347" s="2143" t="s">
        <v>2766</v>
      </c>
      <c r="D347" s="2127"/>
      <c r="E347" s="2066"/>
      <c r="F347" s="2067">
        <f t="shared" si="196"/>
        <v>0</v>
      </c>
      <c r="G347" s="2524">
        <f t="shared" si="200"/>
        <v>0</v>
      </c>
      <c r="H347" s="2524">
        <f t="shared" si="200"/>
        <v>0</v>
      </c>
      <c r="I347" s="2524">
        <f t="shared" si="200"/>
        <v>0</v>
      </c>
      <c r="J347" s="2524">
        <f t="shared" si="200"/>
        <v>0</v>
      </c>
      <c r="K347" s="2524">
        <f t="shared" si="200"/>
        <v>0</v>
      </c>
      <c r="L347" s="2524">
        <f t="shared" si="200"/>
        <v>0</v>
      </c>
      <c r="M347" s="2524">
        <f t="shared" si="200"/>
        <v>0</v>
      </c>
      <c r="N347" s="2525">
        <f t="shared" si="200"/>
        <v>0</v>
      </c>
    </row>
    <row r="348" spans="1:14" ht="13.5" customHeight="1">
      <c r="A348" s="2985"/>
      <c r="B348" s="2989"/>
      <c r="C348" s="2143" t="s">
        <v>2927</v>
      </c>
      <c r="D348" s="2127"/>
      <c r="E348" s="2066"/>
      <c r="F348" s="2067">
        <f t="shared" si="196"/>
        <v>0</v>
      </c>
      <c r="G348" s="2524">
        <f t="shared" si="200"/>
        <v>0</v>
      </c>
      <c r="H348" s="2524">
        <f t="shared" si="200"/>
        <v>0</v>
      </c>
      <c r="I348" s="2524">
        <f t="shared" si="200"/>
        <v>0</v>
      </c>
      <c r="J348" s="2524">
        <f t="shared" si="200"/>
        <v>0</v>
      </c>
      <c r="K348" s="2524">
        <f t="shared" si="200"/>
        <v>0</v>
      </c>
      <c r="L348" s="2524">
        <f t="shared" si="200"/>
        <v>0</v>
      </c>
      <c r="M348" s="2524">
        <f t="shared" si="200"/>
        <v>0</v>
      </c>
      <c r="N348" s="2525">
        <f t="shared" si="200"/>
        <v>0</v>
      </c>
    </row>
    <row r="349" spans="1:14" ht="13.5" customHeight="1">
      <c r="A349" s="2985"/>
      <c r="B349" s="3006" t="s">
        <v>2544</v>
      </c>
      <c r="C349" s="2144" t="s">
        <v>2863</v>
      </c>
      <c r="D349" s="2127"/>
      <c r="E349" s="2066"/>
      <c r="F349" s="2067">
        <f t="shared" si="196"/>
        <v>0</v>
      </c>
      <c r="G349" s="2524">
        <f t="shared" si="200"/>
        <v>0</v>
      </c>
      <c r="H349" s="2524">
        <f t="shared" si="200"/>
        <v>0</v>
      </c>
      <c r="I349" s="2524">
        <f t="shared" si="200"/>
        <v>0</v>
      </c>
      <c r="J349" s="2524">
        <f t="shared" si="200"/>
        <v>0</v>
      </c>
      <c r="K349" s="2524">
        <f t="shared" si="200"/>
        <v>0</v>
      </c>
      <c r="L349" s="2524">
        <f t="shared" si="200"/>
        <v>0</v>
      </c>
      <c r="M349" s="2524">
        <f t="shared" si="200"/>
        <v>0</v>
      </c>
      <c r="N349" s="2525">
        <f t="shared" si="200"/>
        <v>0</v>
      </c>
    </row>
    <row r="350" spans="1:14" ht="13.5" customHeight="1">
      <c r="A350" s="2985"/>
      <c r="B350" s="3006"/>
      <c r="C350" s="2145" t="s">
        <v>2864</v>
      </c>
      <c r="D350" s="2127"/>
      <c r="E350" s="2066"/>
      <c r="F350" s="2067">
        <f t="shared" si="196"/>
        <v>0</v>
      </c>
      <c r="G350" s="2524">
        <f t="shared" si="200"/>
        <v>0</v>
      </c>
      <c r="H350" s="2524">
        <f t="shared" si="200"/>
        <v>0</v>
      </c>
      <c r="I350" s="2524">
        <f t="shared" si="200"/>
        <v>0</v>
      </c>
      <c r="J350" s="2524">
        <f t="shared" si="200"/>
        <v>0</v>
      </c>
      <c r="K350" s="2524">
        <f t="shared" si="200"/>
        <v>0</v>
      </c>
      <c r="L350" s="2524">
        <f t="shared" si="200"/>
        <v>0</v>
      </c>
      <c r="M350" s="2524">
        <f t="shared" si="200"/>
        <v>0</v>
      </c>
      <c r="N350" s="2525">
        <f t="shared" si="200"/>
        <v>0</v>
      </c>
    </row>
    <row r="351" spans="1:14" ht="13.5" customHeight="1">
      <c r="A351" s="2985"/>
      <c r="B351" s="3006"/>
      <c r="C351" s="2142" t="s">
        <v>2928</v>
      </c>
      <c r="D351" s="2127"/>
      <c r="E351" s="2066"/>
      <c r="F351" s="2067">
        <f t="shared" si="196"/>
        <v>0</v>
      </c>
      <c r="G351" s="2524">
        <f t="shared" si="200"/>
        <v>0</v>
      </c>
      <c r="H351" s="2524">
        <f t="shared" si="200"/>
        <v>0</v>
      </c>
      <c r="I351" s="2524">
        <f t="shared" si="200"/>
        <v>0</v>
      </c>
      <c r="J351" s="2524">
        <f t="shared" si="200"/>
        <v>0</v>
      </c>
      <c r="K351" s="2524">
        <f t="shared" si="200"/>
        <v>0</v>
      </c>
      <c r="L351" s="2524">
        <f t="shared" si="200"/>
        <v>0</v>
      </c>
      <c r="M351" s="2524">
        <f t="shared" si="200"/>
        <v>0</v>
      </c>
      <c r="N351" s="2525">
        <f t="shared" si="200"/>
        <v>0</v>
      </c>
    </row>
    <row r="352" spans="1:14" ht="13.5" customHeight="1">
      <c r="A352" s="2985"/>
      <c r="B352" s="3006"/>
      <c r="C352" s="2142" t="s">
        <v>2866</v>
      </c>
      <c r="D352" s="2127"/>
      <c r="E352" s="2066"/>
      <c r="F352" s="2067">
        <f t="shared" si="196"/>
        <v>0</v>
      </c>
      <c r="G352" s="2524">
        <f t="shared" si="200"/>
        <v>0</v>
      </c>
      <c r="H352" s="2524">
        <f t="shared" si="200"/>
        <v>0</v>
      </c>
      <c r="I352" s="2524">
        <f t="shared" si="200"/>
        <v>0</v>
      </c>
      <c r="J352" s="2524">
        <f t="shared" si="200"/>
        <v>0</v>
      </c>
      <c r="K352" s="2524">
        <f t="shared" si="200"/>
        <v>0</v>
      </c>
      <c r="L352" s="2524">
        <f t="shared" si="200"/>
        <v>0</v>
      </c>
      <c r="M352" s="2524">
        <f t="shared" si="200"/>
        <v>0</v>
      </c>
      <c r="N352" s="2525">
        <f t="shared" si="200"/>
        <v>0</v>
      </c>
    </row>
    <row r="353" spans="1:16" ht="13.5" customHeight="1">
      <c r="A353" s="2985"/>
      <c r="B353" s="2990"/>
      <c r="C353" s="2148" t="s">
        <v>2867</v>
      </c>
      <c r="D353" s="2148"/>
      <c r="E353" s="2149"/>
      <c r="F353" s="2037">
        <f t="shared" si="196"/>
        <v>0</v>
      </c>
      <c r="G353" s="2524">
        <f t="shared" si="200"/>
        <v>0</v>
      </c>
      <c r="H353" s="2524">
        <f t="shared" si="200"/>
        <v>0</v>
      </c>
      <c r="I353" s="2524">
        <f t="shared" si="200"/>
        <v>0</v>
      </c>
      <c r="J353" s="2524">
        <f t="shared" si="200"/>
        <v>0</v>
      </c>
      <c r="K353" s="2524">
        <f t="shared" si="200"/>
        <v>0</v>
      </c>
      <c r="L353" s="2524">
        <f t="shared" si="200"/>
        <v>0</v>
      </c>
      <c r="M353" s="2524">
        <f t="shared" si="200"/>
        <v>0</v>
      </c>
      <c r="N353" s="2525">
        <f t="shared" si="200"/>
        <v>0</v>
      </c>
    </row>
    <row r="354" spans="1:16" ht="13.5" customHeight="1">
      <c r="A354" s="2985"/>
      <c r="B354" s="2990"/>
      <c r="C354" s="2152" t="s">
        <v>2868</v>
      </c>
      <c r="D354" s="2148"/>
      <c r="E354" s="2149"/>
      <c r="F354" s="2037">
        <f t="shared" si="196"/>
        <v>0</v>
      </c>
      <c r="G354" s="2524">
        <f t="shared" si="200"/>
        <v>0</v>
      </c>
      <c r="H354" s="2524">
        <f t="shared" si="200"/>
        <v>0</v>
      </c>
      <c r="I354" s="2524">
        <f t="shared" si="200"/>
        <v>0</v>
      </c>
      <c r="J354" s="2524">
        <f t="shared" si="200"/>
        <v>0</v>
      </c>
      <c r="K354" s="2524">
        <f t="shared" si="200"/>
        <v>0</v>
      </c>
      <c r="L354" s="2524">
        <f t="shared" si="200"/>
        <v>0</v>
      </c>
      <c r="M354" s="2524">
        <f t="shared" si="200"/>
        <v>0</v>
      </c>
      <c r="N354" s="2525">
        <f t="shared" si="200"/>
        <v>0</v>
      </c>
    </row>
    <row r="355" spans="1:16" ht="15" customHeight="1">
      <c r="A355" s="2986"/>
      <c r="B355" s="3007"/>
      <c r="C355" s="2153" t="s">
        <v>2869</v>
      </c>
      <c r="D355" s="2154"/>
      <c r="E355" s="2073"/>
      <c r="F355" s="2155">
        <f t="shared" si="196"/>
        <v>0</v>
      </c>
      <c r="G355" s="2526">
        <f t="shared" si="200"/>
        <v>0</v>
      </c>
      <c r="H355" s="2526">
        <f t="shared" si="200"/>
        <v>0</v>
      </c>
      <c r="I355" s="2526">
        <f t="shared" si="200"/>
        <v>0</v>
      </c>
      <c r="J355" s="2526">
        <f t="shared" si="200"/>
        <v>0</v>
      </c>
      <c r="K355" s="2526">
        <f t="shared" si="200"/>
        <v>0</v>
      </c>
      <c r="L355" s="2526">
        <f t="shared" si="200"/>
        <v>0</v>
      </c>
      <c r="M355" s="2526">
        <f t="shared" si="200"/>
        <v>0</v>
      </c>
      <c r="N355" s="2527">
        <f t="shared" si="200"/>
        <v>0</v>
      </c>
    </row>
    <row r="356" spans="1:16" s="2163" customFormat="1" ht="14.25" customHeight="1">
      <c r="A356" s="2158"/>
      <c r="B356" s="2167"/>
      <c r="C356" s="2528" t="s">
        <v>2620</v>
      </c>
      <c r="D356" s="2528"/>
      <c r="E356" s="2529"/>
      <c r="F356" s="2529"/>
      <c r="G356" s="2530"/>
      <c r="H356" s="2530"/>
      <c r="I356" s="2530"/>
      <c r="J356" s="2530"/>
      <c r="K356" s="2530"/>
      <c r="L356" s="2530"/>
      <c r="M356" s="2530"/>
      <c r="N356" s="1711" t="s">
        <v>2929</v>
      </c>
      <c r="O356" s="2161"/>
      <c r="P356" s="2162"/>
    </row>
    <row r="357" spans="1:16" s="2163" customFormat="1" ht="14.25" customHeight="1">
      <c r="A357" s="2158"/>
      <c r="B357" s="2531"/>
      <c r="C357" s="2532" t="s">
        <v>2622</v>
      </c>
      <c r="D357" s="2532"/>
      <c r="E357" s="2533"/>
      <c r="F357" s="2533"/>
      <c r="G357" s="2165"/>
      <c r="H357" s="2165"/>
      <c r="I357" s="2165"/>
      <c r="J357" s="2165"/>
      <c r="K357" s="2165"/>
      <c r="L357" s="2165"/>
      <c r="M357" s="2165"/>
      <c r="N357" s="2165"/>
      <c r="O357" s="2161"/>
      <c r="P357" s="2162"/>
    </row>
    <row r="358" spans="1:16" s="2163" customFormat="1" ht="14.25" customHeight="1">
      <c r="A358" s="2166"/>
      <c r="B358" s="2167"/>
      <c r="C358" s="2167"/>
      <c r="D358" s="3008" t="s">
        <v>2623</v>
      </c>
      <c r="E358" s="3008" t="s">
        <v>2871</v>
      </c>
      <c r="F358" s="2168" t="s">
        <v>2505</v>
      </c>
      <c r="G358" s="2169" t="str">
        <f t="shared" ref="G358:N358" si="201">G302</f>
        <v>工事１</v>
      </c>
      <c r="H358" s="2169" t="str">
        <f t="shared" si="201"/>
        <v>工事２</v>
      </c>
      <c r="I358" s="2169" t="str">
        <f t="shared" si="201"/>
        <v>工事３</v>
      </c>
      <c r="J358" s="2169" t="str">
        <f>J302</f>
        <v>工事３</v>
      </c>
      <c r="K358" s="2169" t="str">
        <f>K302</f>
        <v>工事３</v>
      </c>
      <c r="L358" s="2169" t="str">
        <f t="shared" si="201"/>
        <v>工事４</v>
      </c>
      <c r="M358" s="2169" t="str">
        <f t="shared" si="201"/>
        <v>工事５</v>
      </c>
      <c r="N358" s="2170" t="str">
        <f t="shared" si="201"/>
        <v>工事６</v>
      </c>
      <c r="O358" s="2162"/>
      <c r="P358" s="2162"/>
    </row>
    <row r="359" spans="1:16" s="2163" customFormat="1" ht="14.25" customHeight="1">
      <c r="A359" s="2997" t="s">
        <v>2625</v>
      </c>
      <c r="B359" s="3010"/>
      <c r="C359" s="3010"/>
      <c r="D359" s="3009"/>
      <c r="E359" s="3009"/>
      <c r="F359" s="2171"/>
      <c r="G359" s="2172"/>
      <c r="H359" s="2172"/>
      <c r="I359" s="2172"/>
      <c r="J359" s="2172"/>
      <c r="K359" s="2172"/>
      <c r="L359" s="2172"/>
      <c r="M359" s="2172"/>
      <c r="N359" s="2173"/>
      <c r="O359" s="2174"/>
      <c r="P359" s="2174"/>
    </row>
    <row r="360" spans="1:16" s="2163" customFormat="1" ht="14.25" customHeight="1">
      <c r="A360" s="2998"/>
      <c r="B360" s="2175" t="s">
        <v>2872</v>
      </c>
      <c r="C360" s="2176"/>
      <c r="D360" s="2176"/>
      <c r="E360" s="2177"/>
      <c r="F360" s="2178">
        <f>SUM(G360:N360)</f>
        <v>0</v>
      </c>
      <c r="G360" s="2179">
        <f t="shared" ref="G360:N360" si="202">SUM(G361:G367)+G351</f>
        <v>0</v>
      </c>
      <c r="H360" s="2179">
        <f t="shared" si="202"/>
        <v>0</v>
      </c>
      <c r="I360" s="2179">
        <f t="shared" si="202"/>
        <v>0</v>
      </c>
      <c r="J360" s="2179">
        <f>SUM(J361:J367)+J351</f>
        <v>0</v>
      </c>
      <c r="K360" s="2179">
        <f>SUM(K361:K367)+K351</f>
        <v>0</v>
      </c>
      <c r="L360" s="2179">
        <f t="shared" si="202"/>
        <v>0</v>
      </c>
      <c r="M360" s="2179">
        <f t="shared" si="202"/>
        <v>0</v>
      </c>
      <c r="N360" s="2180">
        <f t="shared" si="202"/>
        <v>0</v>
      </c>
      <c r="O360" s="2181"/>
      <c r="P360" s="2181"/>
    </row>
    <row r="361" spans="1:16" s="2163" customFormat="1" ht="14.25" customHeight="1">
      <c r="A361" s="2999"/>
      <c r="B361" s="3005" t="s">
        <v>2930</v>
      </c>
      <c r="C361" s="2182" t="s">
        <v>2530</v>
      </c>
      <c r="D361" s="2183">
        <v>1</v>
      </c>
      <c r="E361" s="2184" t="s">
        <v>2931</v>
      </c>
      <c r="F361" s="2185">
        <f>SUM(G361:N361)</f>
        <v>0</v>
      </c>
      <c r="G361" s="2186">
        <f t="shared" ref="G361:N362" si="203">IF(G$91="積上げ",0,G334)</f>
        <v>0</v>
      </c>
      <c r="H361" s="2186">
        <f t="shared" si="203"/>
        <v>0</v>
      </c>
      <c r="I361" s="2186">
        <f t="shared" si="203"/>
        <v>0</v>
      </c>
      <c r="J361" s="2186">
        <f>IF(J$91="積上げ",0,J334)</f>
        <v>0</v>
      </c>
      <c r="K361" s="2186">
        <f>IF(K$91="積上げ",0,K334)</f>
        <v>0</v>
      </c>
      <c r="L361" s="2186">
        <f t="shared" si="203"/>
        <v>0</v>
      </c>
      <c r="M361" s="2186">
        <f t="shared" si="203"/>
        <v>0</v>
      </c>
      <c r="N361" s="2187">
        <f t="shared" si="203"/>
        <v>0</v>
      </c>
      <c r="O361" s="2174"/>
      <c r="P361" s="2174"/>
    </row>
    <row r="362" spans="1:16" s="2163" customFormat="1" ht="14.25" customHeight="1">
      <c r="A362" s="2999"/>
      <c r="B362" s="3005"/>
      <c r="C362" s="2182" t="s">
        <v>2531</v>
      </c>
      <c r="D362" s="2183">
        <v>1</v>
      </c>
      <c r="E362" s="2184" t="s">
        <v>2790</v>
      </c>
      <c r="F362" s="2185">
        <f>SUM(G362:N362)</f>
        <v>0</v>
      </c>
      <c r="G362" s="2186">
        <f t="shared" si="203"/>
        <v>0</v>
      </c>
      <c r="H362" s="2186">
        <f t="shared" si="203"/>
        <v>0</v>
      </c>
      <c r="I362" s="2186">
        <f t="shared" si="203"/>
        <v>0</v>
      </c>
      <c r="J362" s="2186">
        <f>IF(J$91="積上げ",0,J335)</f>
        <v>0</v>
      </c>
      <c r="K362" s="2186">
        <f>IF(K$91="積上げ",0,K335)</f>
        <v>0</v>
      </c>
      <c r="L362" s="2186">
        <f t="shared" si="203"/>
        <v>0</v>
      </c>
      <c r="M362" s="2186">
        <f t="shared" si="203"/>
        <v>0</v>
      </c>
      <c r="N362" s="2187">
        <f t="shared" si="203"/>
        <v>0</v>
      </c>
      <c r="O362" s="2174"/>
      <c r="P362" s="2174"/>
    </row>
    <row r="363" spans="1:16" s="2163" customFormat="1" ht="14.25" customHeight="1">
      <c r="A363" s="2999"/>
      <c r="B363" s="3004" t="s">
        <v>2729</v>
      </c>
      <c r="C363" s="2127" t="s">
        <v>2875</v>
      </c>
      <c r="D363" s="2183">
        <v>1</v>
      </c>
      <c r="E363" s="2188">
        <v>0.2</v>
      </c>
      <c r="F363" s="2186">
        <f>INT(F339/(1+$E363))</f>
        <v>0</v>
      </c>
      <c r="G363" s="2186">
        <f t="shared" ref="G363:N367" si="204">IF(G$91="積上げ",0,G397)</f>
        <v>0</v>
      </c>
      <c r="H363" s="2186">
        <f t="shared" si="204"/>
        <v>0</v>
      </c>
      <c r="I363" s="2186">
        <f t="shared" si="204"/>
        <v>0</v>
      </c>
      <c r="J363" s="2186">
        <f t="shared" si="204"/>
        <v>0</v>
      </c>
      <c r="K363" s="2186">
        <f t="shared" si="204"/>
        <v>0</v>
      </c>
      <c r="L363" s="2186">
        <f t="shared" si="204"/>
        <v>0</v>
      </c>
      <c r="M363" s="2186">
        <f t="shared" si="204"/>
        <v>0</v>
      </c>
      <c r="N363" s="2187">
        <f t="shared" si="204"/>
        <v>0</v>
      </c>
      <c r="O363" s="2174"/>
      <c r="P363" s="2174"/>
    </row>
    <row r="364" spans="1:16" s="2163" customFormat="1" ht="14.25" customHeight="1">
      <c r="A364" s="2999"/>
      <c r="B364" s="3002"/>
      <c r="C364" s="2135" t="s">
        <v>2876</v>
      </c>
      <c r="D364" s="2183">
        <v>1</v>
      </c>
      <c r="E364" s="2189">
        <f>E151</f>
        <v>0.25</v>
      </c>
      <c r="F364" s="2186">
        <f>INT(F340/(1+$E364))</f>
        <v>0</v>
      </c>
      <c r="G364" s="2186">
        <f t="shared" si="204"/>
        <v>0</v>
      </c>
      <c r="H364" s="2186">
        <f t="shared" si="204"/>
        <v>0</v>
      </c>
      <c r="I364" s="2186">
        <f t="shared" si="204"/>
        <v>0</v>
      </c>
      <c r="J364" s="2186">
        <f t="shared" si="204"/>
        <v>0</v>
      </c>
      <c r="K364" s="2186">
        <f t="shared" si="204"/>
        <v>0</v>
      </c>
      <c r="L364" s="2186">
        <f t="shared" si="204"/>
        <v>0</v>
      </c>
      <c r="M364" s="2186">
        <f t="shared" si="204"/>
        <v>0</v>
      </c>
      <c r="N364" s="2187">
        <f t="shared" si="204"/>
        <v>0</v>
      </c>
      <c r="O364" s="2174"/>
      <c r="P364" s="2174"/>
    </row>
    <row r="365" spans="1:16" s="2163" customFormat="1" ht="14.25" customHeight="1">
      <c r="A365" s="2999"/>
      <c r="B365" s="3002"/>
      <c r="C365" s="2127" t="s">
        <v>2877</v>
      </c>
      <c r="D365" s="2183">
        <v>1</v>
      </c>
      <c r="E365" s="2188">
        <v>0.2</v>
      </c>
      <c r="F365" s="2186">
        <f>INT(F341/(1+$E365))</f>
        <v>0</v>
      </c>
      <c r="G365" s="2186">
        <f t="shared" si="204"/>
        <v>0</v>
      </c>
      <c r="H365" s="2186">
        <f t="shared" si="204"/>
        <v>0</v>
      </c>
      <c r="I365" s="2186">
        <f t="shared" si="204"/>
        <v>0</v>
      </c>
      <c r="J365" s="2186">
        <f t="shared" si="204"/>
        <v>0</v>
      </c>
      <c r="K365" s="2186">
        <f t="shared" si="204"/>
        <v>0</v>
      </c>
      <c r="L365" s="2186">
        <f t="shared" si="204"/>
        <v>0</v>
      </c>
      <c r="M365" s="2186">
        <f t="shared" si="204"/>
        <v>0</v>
      </c>
      <c r="N365" s="2187">
        <f t="shared" si="204"/>
        <v>0</v>
      </c>
      <c r="O365" s="2174"/>
      <c r="P365" s="2174"/>
    </row>
    <row r="366" spans="1:16" s="2163" customFormat="1" ht="14.25" customHeight="1">
      <c r="A366" s="2999"/>
      <c r="B366" s="3002"/>
      <c r="C366" s="2127" t="s">
        <v>2893</v>
      </c>
      <c r="D366" s="2183">
        <v>1</v>
      </c>
      <c r="E366" s="2188">
        <v>0.2</v>
      </c>
      <c r="F366" s="2186">
        <f>INT(F342/(1+$E366))</f>
        <v>0</v>
      </c>
      <c r="G366" s="2186">
        <f t="shared" si="204"/>
        <v>0</v>
      </c>
      <c r="H366" s="2186">
        <f t="shared" si="204"/>
        <v>0</v>
      </c>
      <c r="I366" s="2186">
        <f t="shared" si="204"/>
        <v>0</v>
      </c>
      <c r="J366" s="2186">
        <f t="shared" si="204"/>
        <v>0</v>
      </c>
      <c r="K366" s="2186">
        <f t="shared" si="204"/>
        <v>0</v>
      </c>
      <c r="L366" s="2186">
        <f t="shared" si="204"/>
        <v>0</v>
      </c>
      <c r="M366" s="2186">
        <f t="shared" si="204"/>
        <v>0</v>
      </c>
      <c r="N366" s="2187">
        <f t="shared" si="204"/>
        <v>0</v>
      </c>
      <c r="O366" s="2174"/>
      <c r="P366" s="2174"/>
    </row>
    <row r="367" spans="1:16" s="2163" customFormat="1" ht="14.25" customHeight="1">
      <c r="A367" s="2999"/>
      <c r="B367" s="3012"/>
      <c r="C367" s="2136" t="s">
        <v>2925</v>
      </c>
      <c r="D367" s="2190">
        <v>1</v>
      </c>
      <c r="E367" s="2188">
        <v>0.2</v>
      </c>
      <c r="F367" s="2186">
        <f>INT(F343/(1+$E367))</f>
        <v>0</v>
      </c>
      <c r="G367" s="2186">
        <f t="shared" si="204"/>
        <v>0</v>
      </c>
      <c r="H367" s="2186">
        <f t="shared" si="204"/>
        <v>0</v>
      </c>
      <c r="I367" s="2186">
        <f t="shared" si="204"/>
        <v>0</v>
      </c>
      <c r="J367" s="2186">
        <f t="shared" si="204"/>
        <v>0</v>
      </c>
      <c r="K367" s="2186">
        <f t="shared" si="204"/>
        <v>0</v>
      </c>
      <c r="L367" s="2186">
        <f t="shared" si="204"/>
        <v>0</v>
      </c>
      <c r="M367" s="2186">
        <f t="shared" si="204"/>
        <v>0</v>
      </c>
      <c r="N367" s="2187">
        <f t="shared" si="204"/>
        <v>0</v>
      </c>
      <c r="O367" s="2174"/>
      <c r="P367" s="2174"/>
    </row>
    <row r="368" spans="1:16" s="2163" customFormat="1" ht="14.25" customHeight="1">
      <c r="A368" s="2999"/>
      <c r="B368" s="3005"/>
      <c r="C368" s="2191" t="s">
        <v>2814</v>
      </c>
      <c r="D368" s="2183">
        <v>1</v>
      </c>
      <c r="E368" s="2192"/>
      <c r="F368" s="2186"/>
      <c r="G368" s="2186"/>
      <c r="H368" s="2186"/>
      <c r="I368" s="2193"/>
      <c r="J368" s="2193"/>
      <c r="K368" s="2193"/>
      <c r="L368" s="2193"/>
      <c r="M368" s="2193"/>
      <c r="N368" s="2194"/>
      <c r="O368" s="2174"/>
      <c r="P368" s="2174"/>
    </row>
    <row r="369" spans="1:16" s="2163" customFormat="1" ht="14.25" customHeight="1">
      <c r="A369" s="2999"/>
      <c r="B369" s="3005"/>
      <c r="C369" s="2191" t="s">
        <v>2881</v>
      </c>
      <c r="D369" s="2183">
        <v>1</v>
      </c>
      <c r="E369" s="2192"/>
      <c r="F369" s="2186"/>
      <c r="G369" s="2186"/>
      <c r="H369" s="2186"/>
      <c r="I369" s="2193"/>
      <c r="J369" s="2193"/>
      <c r="K369" s="2193"/>
      <c r="L369" s="2193"/>
      <c r="M369" s="2193"/>
      <c r="N369" s="2194"/>
      <c r="O369" s="2174"/>
      <c r="P369" s="2174"/>
    </row>
    <row r="370" spans="1:16" s="2163" customFormat="1" ht="14.25" customHeight="1">
      <c r="A370" s="3011"/>
      <c r="B370" s="2195" t="s">
        <v>2632</v>
      </c>
      <c r="C370" s="2196" t="s">
        <v>2932</v>
      </c>
      <c r="D370" s="2197">
        <v>1</v>
      </c>
      <c r="E370" s="2198">
        <v>0</v>
      </c>
      <c r="F370" s="2199">
        <f>SUM(G370:N370)</f>
        <v>0</v>
      </c>
      <c r="G370" s="2200">
        <f t="shared" ref="G370:N370" si="205">IF(G304="積上げ",0,SUM(G349:G351)+G353)</f>
        <v>0</v>
      </c>
      <c r="H370" s="2200">
        <f t="shared" si="205"/>
        <v>0</v>
      </c>
      <c r="I370" s="2200">
        <f t="shared" si="205"/>
        <v>0</v>
      </c>
      <c r="J370" s="2200">
        <f>IF(J304="積上げ",0,SUM(J349:J351)+J353)</f>
        <v>0</v>
      </c>
      <c r="K370" s="2200">
        <f>IF(K304="積上げ",0,SUM(K349:K351)+K353)</f>
        <v>0</v>
      </c>
      <c r="L370" s="2200">
        <f t="shared" si="205"/>
        <v>0</v>
      </c>
      <c r="M370" s="2200">
        <f t="shared" si="205"/>
        <v>0</v>
      </c>
      <c r="N370" s="2201">
        <f t="shared" si="205"/>
        <v>0</v>
      </c>
      <c r="O370" s="2174"/>
      <c r="P370" s="2174"/>
    </row>
    <row r="371" spans="1:16" s="2163" customFormat="1" ht="14.25" customHeight="1">
      <c r="A371" s="2202"/>
      <c r="B371" s="2203"/>
      <c r="C371" s="2204"/>
      <c r="D371" s="2994"/>
      <c r="E371" s="2994"/>
      <c r="F371" s="2205"/>
      <c r="G371" s="2206"/>
      <c r="H371" s="2206"/>
      <c r="I371" s="2206"/>
      <c r="J371" s="2206"/>
      <c r="K371" s="2206"/>
      <c r="L371" s="2206"/>
      <c r="M371" s="2206"/>
      <c r="N371" s="2207"/>
      <c r="O371" s="2174"/>
      <c r="P371" s="2174"/>
    </row>
    <row r="372" spans="1:16" s="2163" customFormat="1" ht="14.25" customHeight="1">
      <c r="A372" s="2996" t="s">
        <v>2634</v>
      </c>
      <c r="B372" s="2996"/>
      <c r="C372" s="2997"/>
      <c r="D372" s="2995"/>
      <c r="E372" s="2995"/>
      <c r="F372" s="2171"/>
      <c r="G372" s="2172"/>
      <c r="H372" s="2172"/>
      <c r="I372" s="2172"/>
      <c r="J372" s="2172"/>
      <c r="K372" s="2172"/>
      <c r="L372" s="2172"/>
      <c r="M372" s="2172"/>
      <c r="N372" s="2173"/>
      <c r="O372" s="2174"/>
      <c r="P372" s="2174"/>
    </row>
    <row r="373" spans="1:16" s="2163" customFormat="1" ht="14.25" customHeight="1">
      <c r="A373" s="2998"/>
      <c r="B373" s="3001" t="s">
        <v>2728</v>
      </c>
      <c r="C373" s="2208" t="s">
        <v>2530</v>
      </c>
      <c r="D373" s="2209"/>
      <c r="E373" s="2210" t="s">
        <v>2933</v>
      </c>
      <c r="F373" s="2211" t="s">
        <v>2934</v>
      </c>
      <c r="G373" s="2212">
        <f t="shared" ref="G373:N373" si="206">IF(G301="新営",IF(G306="有り",+G477/100,G478/100),0)</f>
        <v>0</v>
      </c>
      <c r="H373" s="2212">
        <f t="shared" si="206"/>
        <v>0</v>
      </c>
      <c r="I373" s="2212">
        <f t="shared" si="206"/>
        <v>0</v>
      </c>
      <c r="J373" s="2212">
        <f>IF(J301="新営",IF(J306="有り",+J477/100,J478/100),0)</f>
        <v>0</v>
      </c>
      <c r="K373" s="2212">
        <f>IF(K301="新営",IF(K306="有り",+K477/100,K478/100),0)</f>
        <v>0</v>
      </c>
      <c r="L373" s="2212">
        <f t="shared" si="206"/>
        <v>0</v>
      </c>
      <c r="M373" s="2212">
        <f t="shared" si="206"/>
        <v>0</v>
      </c>
      <c r="N373" s="2213">
        <f t="shared" si="206"/>
        <v>0</v>
      </c>
      <c r="O373" s="2214"/>
      <c r="P373" s="2214"/>
    </row>
    <row r="374" spans="1:16" s="2163" customFormat="1" ht="14.25" customHeight="1">
      <c r="A374" s="2999"/>
      <c r="B374" s="3002"/>
      <c r="C374" s="2215"/>
      <c r="D374" s="2216">
        <f>+D361</f>
        <v>1</v>
      </c>
      <c r="E374" s="2217" t="s">
        <v>2790</v>
      </c>
      <c r="F374" s="2218">
        <f>SUM(G374:N374)</f>
        <v>0</v>
      </c>
      <c r="G374" s="2219">
        <f t="shared" ref="G374:N374" si="207">ROUNDDOWN(G361*G373*$D374,0)</f>
        <v>0</v>
      </c>
      <c r="H374" s="2219">
        <f t="shared" si="207"/>
        <v>0</v>
      </c>
      <c r="I374" s="2219">
        <f t="shared" si="207"/>
        <v>0</v>
      </c>
      <c r="J374" s="2219">
        <f>ROUNDDOWN(J361*J373*$D374,0)</f>
        <v>0</v>
      </c>
      <c r="K374" s="2219">
        <f>ROUNDDOWN(K361*K373*$D374,0)</f>
        <v>0</v>
      </c>
      <c r="L374" s="2219">
        <f t="shared" si="207"/>
        <v>0</v>
      </c>
      <c r="M374" s="2219">
        <f t="shared" si="207"/>
        <v>0</v>
      </c>
      <c r="N374" s="2194">
        <f t="shared" si="207"/>
        <v>0</v>
      </c>
      <c r="O374" s="2174"/>
      <c r="P374" s="2174"/>
    </row>
    <row r="375" spans="1:16" s="2163" customFormat="1" ht="14.25" customHeight="1">
      <c r="A375" s="2999"/>
      <c r="B375" s="3002"/>
      <c r="C375" s="2220" t="s">
        <v>2531</v>
      </c>
      <c r="D375" s="2221"/>
      <c r="E375" s="2217" t="s">
        <v>2790</v>
      </c>
      <c r="F375" s="2222" t="s">
        <v>2789</v>
      </c>
      <c r="G375" s="2223">
        <f t="shared" ref="G375:N375" si="208">IF(G301="改修",IF(G306="有り",+G486/100,G487/100),0)</f>
        <v>2.5099999999999997E-2</v>
      </c>
      <c r="H375" s="2223">
        <f t="shared" si="208"/>
        <v>0</v>
      </c>
      <c r="I375" s="2223">
        <f t="shared" si="208"/>
        <v>0</v>
      </c>
      <c r="J375" s="2223">
        <f>IF(J301="改修",IF(J306="有り",+J486/100,J487/100),0)</f>
        <v>0</v>
      </c>
      <c r="K375" s="2223">
        <f>IF(K301="改修",IF(K306="有り",+K486/100,K487/100),0)</f>
        <v>0</v>
      </c>
      <c r="L375" s="2223">
        <f t="shared" si="208"/>
        <v>0</v>
      </c>
      <c r="M375" s="2223">
        <f t="shared" si="208"/>
        <v>0</v>
      </c>
      <c r="N375" s="2224">
        <f t="shared" si="208"/>
        <v>0</v>
      </c>
      <c r="O375" s="2214"/>
      <c r="P375" s="2214"/>
    </row>
    <row r="376" spans="1:16" s="2163" customFormat="1" ht="14.25" customHeight="1">
      <c r="A376" s="2999"/>
      <c r="B376" s="3003"/>
      <c r="C376" s="2215"/>
      <c r="D376" s="2216">
        <f>+D362</f>
        <v>1</v>
      </c>
      <c r="E376" s="2217" t="s">
        <v>2790</v>
      </c>
      <c r="F376" s="2218">
        <f t="shared" ref="F376:F385" si="209">SUM(G376:N376)</f>
        <v>0</v>
      </c>
      <c r="G376" s="2219">
        <f t="shared" ref="G376:N376" si="210">ROUNDDOWN(G362*G375*$D376,0)</f>
        <v>0</v>
      </c>
      <c r="H376" s="2219">
        <f t="shared" si="210"/>
        <v>0</v>
      </c>
      <c r="I376" s="2219">
        <f t="shared" si="210"/>
        <v>0</v>
      </c>
      <c r="J376" s="2219">
        <f>ROUNDDOWN(J362*J375*$D376,0)</f>
        <v>0</v>
      </c>
      <c r="K376" s="2219">
        <f>ROUNDDOWN(K362*K375*$D376,0)</f>
        <v>0</v>
      </c>
      <c r="L376" s="2219">
        <f t="shared" si="210"/>
        <v>0</v>
      </c>
      <c r="M376" s="2219">
        <f t="shared" si="210"/>
        <v>0</v>
      </c>
      <c r="N376" s="2225">
        <f t="shared" si="210"/>
        <v>0</v>
      </c>
      <c r="O376" s="2174"/>
      <c r="P376" s="2174"/>
    </row>
    <row r="377" spans="1:16" s="2163" customFormat="1" ht="14.25" customHeight="1">
      <c r="A377" s="2999"/>
      <c r="B377" s="3004" t="s">
        <v>2729</v>
      </c>
      <c r="C377" s="2127" t="s">
        <v>2935</v>
      </c>
      <c r="D377" s="2216">
        <v>1</v>
      </c>
      <c r="E377" s="2226"/>
      <c r="F377" s="2218">
        <f t="shared" si="209"/>
        <v>0</v>
      </c>
      <c r="G377" s="2219">
        <f t="shared" ref="G377:N377" si="211">IF(G$88="改修",ROUNDDOWN(G363*G$162*$D377,0),ROUNDDOWN(G363*G$160*$D377,0))</f>
        <v>0</v>
      </c>
      <c r="H377" s="2219">
        <f t="shared" si="211"/>
        <v>0</v>
      </c>
      <c r="I377" s="2219">
        <f t="shared" si="211"/>
        <v>0</v>
      </c>
      <c r="J377" s="2219">
        <f>IF(J$88="改修",ROUNDDOWN(J363*J$162*$D377,0),ROUNDDOWN(J363*J$160*$D377,0))</f>
        <v>0</v>
      </c>
      <c r="K377" s="2219">
        <f>IF(K$88="改修",ROUNDDOWN(K363*K$162*$D377,0),ROUNDDOWN(K363*K$160*$D377,0))</f>
        <v>0</v>
      </c>
      <c r="L377" s="2219">
        <f t="shared" si="211"/>
        <v>0</v>
      </c>
      <c r="M377" s="2219">
        <f t="shared" si="211"/>
        <v>0</v>
      </c>
      <c r="N377" s="2225">
        <f t="shared" si="211"/>
        <v>0</v>
      </c>
      <c r="O377" s="2174"/>
      <c r="P377" s="2174"/>
    </row>
    <row r="378" spans="1:16" s="2163" customFormat="1" ht="14.25" customHeight="1">
      <c r="A378" s="2999"/>
      <c r="B378" s="3002"/>
      <c r="C378" s="2135" t="s">
        <v>2876</v>
      </c>
      <c r="D378" s="2216">
        <v>1</v>
      </c>
      <c r="E378" s="2217"/>
      <c r="F378" s="2218">
        <f t="shared" si="209"/>
        <v>0</v>
      </c>
      <c r="G378" s="2219">
        <f t="shared" ref="G378:N378" si="212">IF(G$88="改修",ROUNDDOWN(G364*G$162*$D378,0),IF(G301="新営",ROUNDDOWN(G364*G$160*$D378,0),0))</f>
        <v>0</v>
      </c>
      <c r="H378" s="2219">
        <f t="shared" si="212"/>
        <v>0</v>
      </c>
      <c r="I378" s="2219">
        <f t="shared" si="212"/>
        <v>0</v>
      </c>
      <c r="J378" s="2219">
        <f>IF(J$88="改修",ROUNDDOWN(J364*J$162*$D378,0),IF(J301="新営",ROUNDDOWN(J364*J$160*$D378,0),0))</f>
        <v>0</v>
      </c>
      <c r="K378" s="2219">
        <f>IF(K$88="改修",ROUNDDOWN(K364*K$162*$D378,0),IF(K301="新営",ROUNDDOWN(K364*K$160*$D378,0),0))</f>
        <v>0</v>
      </c>
      <c r="L378" s="2219">
        <f t="shared" si="212"/>
        <v>0</v>
      </c>
      <c r="M378" s="2219">
        <f t="shared" si="212"/>
        <v>0</v>
      </c>
      <c r="N378" s="2225">
        <f t="shared" si="212"/>
        <v>0</v>
      </c>
      <c r="O378" s="2174"/>
      <c r="P378" s="2174"/>
    </row>
    <row r="379" spans="1:16" s="2163" customFormat="1" ht="14.25" customHeight="1">
      <c r="A379" s="2999"/>
      <c r="B379" s="3002"/>
      <c r="C379" s="2127" t="s">
        <v>2877</v>
      </c>
      <c r="D379" s="2216">
        <v>1</v>
      </c>
      <c r="E379" s="2217"/>
      <c r="F379" s="2218">
        <f t="shared" si="209"/>
        <v>0</v>
      </c>
      <c r="G379" s="2219">
        <f t="shared" ref="G379:N379" si="213">IF(G$88="改修",ROUNDDOWN(G365*G$162*$D379,0),IF(G301="新営",ROUNDDOWN(G365*G$160*$D379,0),0))</f>
        <v>0</v>
      </c>
      <c r="H379" s="2219">
        <f t="shared" si="213"/>
        <v>0</v>
      </c>
      <c r="I379" s="2219">
        <f t="shared" si="213"/>
        <v>0</v>
      </c>
      <c r="J379" s="2219">
        <f>IF(J$88="改修",ROUNDDOWN(J365*J$162*$D379,0),IF(J301="新営",ROUNDDOWN(J365*J$160*$D379,0),0))</f>
        <v>0</v>
      </c>
      <c r="K379" s="2219">
        <f>IF(K$88="改修",ROUNDDOWN(K365*K$162*$D379,0),IF(K301="新営",ROUNDDOWN(K365*K$160*$D379,0),0))</f>
        <v>0</v>
      </c>
      <c r="L379" s="2219">
        <f t="shared" si="213"/>
        <v>0</v>
      </c>
      <c r="M379" s="2219">
        <f t="shared" si="213"/>
        <v>0</v>
      </c>
      <c r="N379" s="2225">
        <f t="shared" si="213"/>
        <v>0</v>
      </c>
      <c r="O379" s="2174"/>
      <c r="P379" s="2174"/>
    </row>
    <row r="380" spans="1:16" s="2163" customFormat="1" ht="14.25" customHeight="1">
      <c r="A380" s="2999"/>
      <c r="B380" s="3002"/>
      <c r="C380" s="2127" t="s">
        <v>2936</v>
      </c>
      <c r="D380" s="2216">
        <v>1</v>
      </c>
      <c r="E380" s="2217"/>
      <c r="F380" s="2218">
        <f t="shared" si="209"/>
        <v>0</v>
      </c>
      <c r="G380" s="2219">
        <f t="shared" ref="G380:N381" si="214">IF(G$88="改修",ROUNDDOWN(G366*G$162*$D380,0),IF(G301="新営",ROUNDDOWN(G366*G$160*$D380,0),0))</f>
        <v>0</v>
      </c>
      <c r="H380" s="2219">
        <f t="shared" si="214"/>
        <v>0</v>
      </c>
      <c r="I380" s="2219">
        <f t="shared" si="214"/>
        <v>0</v>
      </c>
      <c r="J380" s="2219">
        <f>IF(J$88="改修",ROUNDDOWN(J366*J$162*$D380,0),IF(J301="新営",ROUNDDOWN(J366*J$160*$D380,0),0))</f>
        <v>0</v>
      </c>
      <c r="K380" s="2219">
        <f>IF(K$88="改修",ROUNDDOWN(K366*K$162*$D380,0),IF(K301="新営",ROUNDDOWN(K366*K$160*$D380,0),0))</f>
        <v>0</v>
      </c>
      <c r="L380" s="2219">
        <f t="shared" si="214"/>
        <v>0</v>
      </c>
      <c r="M380" s="2219">
        <f t="shared" si="214"/>
        <v>0</v>
      </c>
      <c r="N380" s="2225">
        <f t="shared" si="214"/>
        <v>0</v>
      </c>
      <c r="O380" s="2174"/>
      <c r="P380" s="2174"/>
    </row>
    <row r="381" spans="1:16" s="2163" customFormat="1" ht="14.25" customHeight="1">
      <c r="A381" s="2999"/>
      <c r="B381" s="2227"/>
      <c r="C381" s="2136" t="s">
        <v>2925</v>
      </c>
      <c r="D381" s="2190">
        <v>1</v>
      </c>
      <c r="E381" s="2217"/>
      <c r="F381" s="2185">
        <f t="shared" si="209"/>
        <v>0</v>
      </c>
      <c r="G381" s="2228">
        <f t="shared" si="214"/>
        <v>0</v>
      </c>
      <c r="H381" s="2228">
        <f t="shared" si="214"/>
        <v>0</v>
      </c>
      <c r="I381" s="2228">
        <f t="shared" si="214"/>
        <v>0</v>
      </c>
      <c r="J381" s="2228">
        <f>IF(J$88="改修",ROUNDDOWN(J367*J$162*$D381,0),IF(J302="新営",ROUNDDOWN(J367*J$160*$D381,0),0))</f>
        <v>0</v>
      </c>
      <c r="K381" s="2228">
        <f>IF(K$88="改修",ROUNDDOWN(K367*K$162*$D381,0),IF(K302="新営",ROUNDDOWN(K367*K$160*$D381,0),0))</f>
        <v>0</v>
      </c>
      <c r="L381" s="2228">
        <f t="shared" si="214"/>
        <v>0</v>
      </c>
      <c r="M381" s="2228">
        <f t="shared" si="214"/>
        <v>0</v>
      </c>
      <c r="N381" s="2229">
        <f t="shared" si="214"/>
        <v>0</v>
      </c>
      <c r="O381" s="2174"/>
      <c r="P381" s="2174"/>
    </row>
    <row r="382" spans="1:16" s="2163" customFormat="1" ht="14.25" customHeight="1">
      <c r="A382" s="2999"/>
      <c r="B382" s="3005"/>
      <c r="C382" s="2191" t="s">
        <v>2639</v>
      </c>
      <c r="D382" s="2230">
        <f t="shared" ref="D382:E384" si="215">+D368</f>
        <v>1</v>
      </c>
      <c r="E382" s="2192">
        <f t="shared" si="215"/>
        <v>0</v>
      </c>
      <c r="F382" s="2218">
        <f t="shared" si="209"/>
        <v>0</v>
      </c>
      <c r="G382" s="2219">
        <f t="shared" ref="G382:N384" si="216">ROUNDDOWN(G368*$E382*$D382,0)</f>
        <v>0</v>
      </c>
      <c r="H382" s="2219">
        <f t="shared" si="216"/>
        <v>0</v>
      </c>
      <c r="I382" s="2219">
        <f t="shared" si="216"/>
        <v>0</v>
      </c>
      <c r="J382" s="2219">
        <f t="shared" si="216"/>
        <v>0</v>
      </c>
      <c r="K382" s="2219">
        <f t="shared" si="216"/>
        <v>0</v>
      </c>
      <c r="L382" s="2219">
        <f t="shared" si="216"/>
        <v>0</v>
      </c>
      <c r="M382" s="2219">
        <f t="shared" si="216"/>
        <v>0</v>
      </c>
      <c r="N382" s="2225">
        <f t="shared" si="216"/>
        <v>0</v>
      </c>
      <c r="O382" s="2174"/>
      <c r="P382" s="2174"/>
    </row>
    <row r="383" spans="1:16" s="2163" customFormat="1" ht="14.25" customHeight="1">
      <c r="A383" s="2999"/>
      <c r="B383" s="3005"/>
      <c r="C383" s="2191" t="s">
        <v>2881</v>
      </c>
      <c r="D383" s="2230">
        <f t="shared" si="215"/>
        <v>1</v>
      </c>
      <c r="E383" s="2192">
        <f t="shared" si="215"/>
        <v>0</v>
      </c>
      <c r="F383" s="2218">
        <f t="shared" si="209"/>
        <v>0</v>
      </c>
      <c r="G383" s="2219">
        <f t="shared" si="216"/>
        <v>0</v>
      </c>
      <c r="H383" s="2219">
        <f t="shared" si="216"/>
        <v>0</v>
      </c>
      <c r="I383" s="2219">
        <f t="shared" si="216"/>
        <v>0</v>
      </c>
      <c r="J383" s="2219">
        <f t="shared" si="216"/>
        <v>0</v>
      </c>
      <c r="K383" s="2219">
        <f t="shared" si="216"/>
        <v>0</v>
      </c>
      <c r="L383" s="2219">
        <f t="shared" si="216"/>
        <v>0</v>
      </c>
      <c r="M383" s="2219">
        <f t="shared" si="216"/>
        <v>0</v>
      </c>
      <c r="N383" s="2225">
        <f t="shared" si="216"/>
        <v>0</v>
      </c>
      <c r="O383" s="2174"/>
      <c r="P383" s="2174"/>
    </row>
    <row r="384" spans="1:16" s="2163" customFormat="1" ht="14.25" customHeight="1" thickBot="1">
      <c r="A384" s="3000"/>
      <c r="B384" s="2231" t="s">
        <v>2632</v>
      </c>
      <c r="C384" s="2196" t="s">
        <v>2886</v>
      </c>
      <c r="D384" s="2232">
        <f t="shared" si="215"/>
        <v>1</v>
      </c>
      <c r="E384" s="2233">
        <f t="shared" si="215"/>
        <v>0</v>
      </c>
      <c r="F384" s="2218">
        <f t="shared" si="209"/>
        <v>0</v>
      </c>
      <c r="G384" s="2219">
        <f t="shared" si="216"/>
        <v>0</v>
      </c>
      <c r="H384" s="2219">
        <f t="shared" si="216"/>
        <v>0</v>
      </c>
      <c r="I384" s="2219">
        <f t="shared" si="216"/>
        <v>0</v>
      </c>
      <c r="J384" s="2219">
        <f t="shared" si="216"/>
        <v>0</v>
      </c>
      <c r="K384" s="2219">
        <f t="shared" si="216"/>
        <v>0</v>
      </c>
      <c r="L384" s="2219">
        <f t="shared" si="216"/>
        <v>0</v>
      </c>
      <c r="M384" s="2219">
        <f t="shared" si="216"/>
        <v>0</v>
      </c>
      <c r="N384" s="2225">
        <f t="shared" si="216"/>
        <v>0</v>
      </c>
      <c r="O384" s="2174"/>
      <c r="P384" s="2174"/>
    </row>
    <row r="385" spans="1:16" s="2163" customFormat="1" ht="14.25" customHeight="1" thickTop="1">
      <c r="A385" s="2234"/>
      <c r="B385" s="2235"/>
      <c r="C385" s="2236" t="s">
        <v>2641</v>
      </c>
      <c r="D385" s="2237"/>
      <c r="E385" s="2238"/>
      <c r="F385" s="2239">
        <f t="shared" si="209"/>
        <v>0</v>
      </c>
      <c r="G385" s="2240">
        <f t="shared" ref="G385:N385" si="217">SUM(G376:G384)+G374</f>
        <v>0</v>
      </c>
      <c r="H385" s="2240">
        <f t="shared" si="217"/>
        <v>0</v>
      </c>
      <c r="I385" s="2240">
        <f t="shared" si="217"/>
        <v>0</v>
      </c>
      <c r="J385" s="2240">
        <f>SUM(J376:J384)+J374</f>
        <v>0</v>
      </c>
      <c r="K385" s="2240">
        <f>SUM(K376:K384)+K374</f>
        <v>0</v>
      </c>
      <c r="L385" s="2240">
        <f t="shared" si="217"/>
        <v>0</v>
      </c>
      <c r="M385" s="2240">
        <f t="shared" si="217"/>
        <v>0</v>
      </c>
      <c r="N385" s="2241">
        <f t="shared" si="217"/>
        <v>0</v>
      </c>
      <c r="O385" s="2174"/>
      <c r="P385" s="2174"/>
    </row>
    <row r="386" spans="1:16" ht="15" customHeight="1">
      <c r="A386" s="1744"/>
      <c r="B386" s="2242"/>
      <c r="C386" s="2243"/>
      <c r="D386" s="2244"/>
      <c r="E386" s="1740"/>
      <c r="F386" s="2245"/>
      <c r="G386" s="2246"/>
      <c r="H386" s="2246"/>
      <c r="I386" s="2246"/>
      <c r="J386" s="2246"/>
      <c r="K386" s="2246"/>
      <c r="L386" s="2246"/>
      <c r="M386" s="2246"/>
      <c r="N386" s="2246"/>
    </row>
    <row r="387" spans="1:16" ht="15" customHeight="1">
      <c r="A387" s="1705"/>
      <c r="B387" s="1705"/>
      <c r="C387" s="1965" t="s">
        <v>2887</v>
      </c>
      <c r="D387" s="1965"/>
      <c r="E387" s="1706"/>
      <c r="F387" s="1706"/>
      <c r="G387" s="1715"/>
      <c r="H387" s="1715"/>
      <c r="I387" s="1715"/>
      <c r="J387" s="1715"/>
      <c r="K387" s="1715"/>
      <c r="L387" s="1715"/>
      <c r="M387" s="1715"/>
      <c r="N387" s="1711" t="s">
        <v>2937</v>
      </c>
    </row>
    <row r="388" spans="1:16" ht="15" customHeight="1">
      <c r="A388" s="1705"/>
      <c r="B388" s="1705"/>
      <c r="C388" s="2247" t="s">
        <v>2774</v>
      </c>
      <c r="D388" s="2247"/>
      <c r="E388" s="1706"/>
      <c r="F388" s="1706"/>
      <c r="G388" s="1715"/>
      <c r="H388" s="1715"/>
      <c r="I388" s="1715"/>
      <c r="J388" s="1715"/>
      <c r="K388" s="1715"/>
      <c r="L388" s="1715"/>
      <c r="M388" s="1715"/>
      <c r="N388" s="1966"/>
    </row>
    <row r="389" spans="1:16" ht="15" customHeight="1">
      <c r="A389" s="1716"/>
      <c r="B389" s="1717"/>
      <c r="C389" s="1717"/>
      <c r="D389" s="3017"/>
      <c r="E389" s="3017" t="s">
        <v>2656</v>
      </c>
      <c r="F389" s="2248" t="s">
        <v>2505</v>
      </c>
      <c r="G389" s="2249" t="str">
        <f t="shared" ref="G389:N389" si="218">+G302</f>
        <v>工事１</v>
      </c>
      <c r="H389" s="2249" t="str">
        <f t="shared" si="218"/>
        <v>工事２</v>
      </c>
      <c r="I389" s="2249" t="str">
        <f t="shared" si="218"/>
        <v>工事３</v>
      </c>
      <c r="J389" s="2249" t="str">
        <f>+J302</f>
        <v>工事３</v>
      </c>
      <c r="K389" s="2249" t="str">
        <f>+K302</f>
        <v>工事３</v>
      </c>
      <c r="L389" s="2249" t="str">
        <f t="shared" si="218"/>
        <v>工事４</v>
      </c>
      <c r="M389" s="2249" t="str">
        <f t="shared" si="218"/>
        <v>工事５</v>
      </c>
      <c r="N389" s="2250" t="str">
        <f t="shared" si="218"/>
        <v>工事６</v>
      </c>
    </row>
    <row r="390" spans="1:16" ht="14.25" customHeight="1">
      <c r="A390" s="3019" t="s">
        <v>2645</v>
      </c>
      <c r="B390" s="3020"/>
      <c r="C390" s="3020"/>
      <c r="D390" s="3018"/>
      <c r="E390" s="3018"/>
      <c r="F390" s="2251"/>
      <c r="G390" s="2252"/>
      <c r="H390" s="2252"/>
      <c r="I390" s="2252"/>
      <c r="J390" s="2252"/>
      <c r="K390" s="2252"/>
      <c r="L390" s="2252"/>
      <c r="M390" s="2252"/>
      <c r="N390" s="2253"/>
    </row>
    <row r="391" spans="1:16" ht="15" customHeight="1">
      <c r="A391" s="2254"/>
      <c r="B391" s="2255" t="s">
        <v>2775</v>
      </c>
      <c r="C391" s="2256"/>
      <c r="D391" s="2249"/>
      <c r="E391" s="2257"/>
      <c r="F391" s="2258">
        <f>SUM(G391:N391)</f>
        <v>0</v>
      </c>
      <c r="G391" s="2259">
        <f t="shared" ref="G391:N391" si="219">SUM(G334:G337)</f>
        <v>0</v>
      </c>
      <c r="H391" s="2259">
        <f t="shared" si="219"/>
        <v>0</v>
      </c>
      <c r="I391" s="2259">
        <f t="shared" si="219"/>
        <v>0</v>
      </c>
      <c r="J391" s="2259">
        <f>SUM(J334:J337)</f>
        <v>0</v>
      </c>
      <c r="K391" s="2259">
        <f>SUM(K334:K337)</f>
        <v>0</v>
      </c>
      <c r="L391" s="2259">
        <f t="shared" si="219"/>
        <v>0</v>
      </c>
      <c r="M391" s="2259">
        <f t="shared" si="219"/>
        <v>0</v>
      </c>
      <c r="N391" s="2260">
        <f t="shared" si="219"/>
        <v>0</v>
      </c>
    </row>
    <row r="392" spans="1:16" ht="15" customHeight="1">
      <c r="A392" s="2261"/>
      <c r="B392" s="2946" t="s">
        <v>2930</v>
      </c>
      <c r="C392" s="2061" t="s">
        <v>2530</v>
      </c>
      <c r="D392" s="2249"/>
      <c r="E392" s="2262" t="s">
        <v>2777</v>
      </c>
      <c r="F392" s="2258">
        <f>SUM(G392:N392)</f>
        <v>0</v>
      </c>
      <c r="G392" s="2263">
        <f t="shared" ref="G392:N392" si="220">+G334</f>
        <v>0</v>
      </c>
      <c r="H392" s="2263">
        <f t="shared" si="220"/>
        <v>0</v>
      </c>
      <c r="I392" s="2263">
        <f t="shared" si="220"/>
        <v>0</v>
      </c>
      <c r="J392" s="2263">
        <f>+J334</f>
        <v>0</v>
      </c>
      <c r="K392" s="2263">
        <f>+K334</f>
        <v>0</v>
      </c>
      <c r="L392" s="2263">
        <f t="shared" si="220"/>
        <v>0</v>
      </c>
      <c r="M392" s="2263">
        <f t="shared" si="220"/>
        <v>0</v>
      </c>
      <c r="N392" s="2264">
        <f t="shared" si="220"/>
        <v>0</v>
      </c>
    </row>
    <row r="393" spans="1:16" ht="15" customHeight="1">
      <c r="A393" s="2265"/>
      <c r="B393" s="2947"/>
      <c r="C393" s="2127" t="s">
        <v>2531</v>
      </c>
      <c r="D393" s="2266"/>
      <c r="E393" s="2267" t="s">
        <v>2777</v>
      </c>
      <c r="F393" s="2268">
        <f>SUM(G393:N393)</f>
        <v>0</v>
      </c>
      <c r="G393" s="2137">
        <f t="shared" ref="G393:N394" si="221">G335</f>
        <v>0</v>
      </c>
      <c r="H393" s="2137">
        <f t="shared" si="221"/>
        <v>0</v>
      </c>
      <c r="I393" s="2137">
        <f t="shared" si="221"/>
        <v>0</v>
      </c>
      <c r="J393" s="2137">
        <f>J335</f>
        <v>0</v>
      </c>
      <c r="K393" s="2137">
        <f>K335</f>
        <v>0</v>
      </c>
      <c r="L393" s="2137">
        <f t="shared" si="221"/>
        <v>0</v>
      </c>
      <c r="M393" s="2137">
        <f t="shared" si="221"/>
        <v>0</v>
      </c>
      <c r="N393" s="2138">
        <f t="shared" si="221"/>
        <v>0</v>
      </c>
    </row>
    <row r="394" spans="1:16" ht="15" customHeight="1">
      <c r="A394" s="2265"/>
      <c r="B394" s="2947"/>
      <c r="C394" s="2127" t="s">
        <v>2890</v>
      </c>
      <c r="D394" s="2266"/>
      <c r="E394" s="2267" t="s">
        <v>2777</v>
      </c>
      <c r="F394" s="2268">
        <f>SUM(G394:N394)</f>
        <v>0</v>
      </c>
      <c r="G394" s="2137">
        <f t="shared" si="221"/>
        <v>0</v>
      </c>
      <c r="H394" s="2137">
        <f t="shared" si="221"/>
        <v>0</v>
      </c>
      <c r="I394" s="2137">
        <f t="shared" si="221"/>
        <v>0</v>
      </c>
      <c r="J394" s="2137">
        <f>J336</f>
        <v>0</v>
      </c>
      <c r="K394" s="2137">
        <f>K336</f>
        <v>0</v>
      </c>
      <c r="L394" s="2137">
        <f t="shared" si="221"/>
        <v>0</v>
      </c>
      <c r="M394" s="2137">
        <f t="shared" si="221"/>
        <v>0</v>
      </c>
      <c r="N394" s="2138">
        <f t="shared" si="221"/>
        <v>0</v>
      </c>
    </row>
    <row r="395" spans="1:16" ht="15" customHeight="1">
      <c r="A395" s="2265"/>
      <c r="B395" s="3021"/>
      <c r="C395" s="2269" t="s">
        <v>2854</v>
      </c>
      <c r="D395" s="2266"/>
      <c r="E395" s="2267" t="s">
        <v>2777</v>
      </c>
      <c r="F395" s="2128">
        <f>F385</f>
        <v>0</v>
      </c>
      <c r="G395" s="2128">
        <f t="shared" ref="G395:N395" si="222">G385</f>
        <v>0</v>
      </c>
      <c r="H395" s="2128">
        <f t="shared" si="222"/>
        <v>0</v>
      </c>
      <c r="I395" s="2128">
        <f t="shared" si="222"/>
        <v>0</v>
      </c>
      <c r="J395" s="2128">
        <f>J385</f>
        <v>0</v>
      </c>
      <c r="K395" s="2128">
        <f>K385</f>
        <v>0</v>
      </c>
      <c r="L395" s="2128">
        <f t="shared" si="222"/>
        <v>0</v>
      </c>
      <c r="M395" s="2128">
        <f t="shared" si="222"/>
        <v>0</v>
      </c>
      <c r="N395" s="2129">
        <f t="shared" si="222"/>
        <v>0</v>
      </c>
    </row>
    <row r="396" spans="1:16" ht="15" customHeight="1">
      <c r="A396" s="2265"/>
      <c r="B396" s="3022" t="s">
        <v>2729</v>
      </c>
      <c r="C396" s="2270" t="s">
        <v>2855</v>
      </c>
      <c r="D396" s="2266"/>
      <c r="E396" s="2141">
        <v>0.2</v>
      </c>
      <c r="F396" s="2137">
        <f t="shared" ref="F396:F401" si="223">INT(F338/(1+$E396))</f>
        <v>0</v>
      </c>
      <c r="G396" s="2137">
        <f t="shared" ref="G396:G401" si="224">F396-SUM(H396:N396)</f>
        <v>0</v>
      </c>
      <c r="H396" s="2137">
        <f t="shared" ref="H396:N396" si="225">INT(H338/(1+$E396))</f>
        <v>0</v>
      </c>
      <c r="I396" s="2137">
        <f t="shared" si="225"/>
        <v>0</v>
      </c>
      <c r="J396" s="2137">
        <f t="shared" si="225"/>
        <v>0</v>
      </c>
      <c r="K396" s="2137">
        <f t="shared" si="225"/>
        <v>0</v>
      </c>
      <c r="L396" s="2137">
        <f t="shared" si="225"/>
        <v>0</v>
      </c>
      <c r="M396" s="2137">
        <f t="shared" si="225"/>
        <v>0</v>
      </c>
      <c r="N396" s="2138">
        <f t="shared" si="225"/>
        <v>0</v>
      </c>
    </row>
    <row r="397" spans="1:16" ht="15" customHeight="1">
      <c r="A397" s="2265"/>
      <c r="B397" s="3023"/>
      <c r="C397" s="2127" t="s">
        <v>2875</v>
      </c>
      <c r="D397" s="2266"/>
      <c r="E397" s="2141">
        <v>0.2</v>
      </c>
      <c r="F397" s="2137">
        <f t="shared" si="223"/>
        <v>0</v>
      </c>
      <c r="G397" s="2137">
        <f t="shared" si="224"/>
        <v>0</v>
      </c>
      <c r="H397" s="2137">
        <f t="shared" ref="H397:N401" si="226">IF(H339=0,0,ROUND($F397/$F339*H339,0))</f>
        <v>0</v>
      </c>
      <c r="I397" s="2137">
        <f t="shared" si="226"/>
        <v>0</v>
      </c>
      <c r="J397" s="2137">
        <f t="shared" si="226"/>
        <v>0</v>
      </c>
      <c r="K397" s="2137">
        <f t="shared" si="226"/>
        <v>0</v>
      </c>
      <c r="L397" s="2137">
        <f t="shared" si="226"/>
        <v>0</v>
      </c>
      <c r="M397" s="2137">
        <f t="shared" si="226"/>
        <v>0</v>
      </c>
      <c r="N397" s="2138">
        <f t="shared" si="226"/>
        <v>0</v>
      </c>
    </row>
    <row r="398" spans="1:16" ht="15" customHeight="1">
      <c r="A398" s="2265"/>
      <c r="B398" s="3023"/>
      <c r="C398" s="2135" t="s">
        <v>2892</v>
      </c>
      <c r="D398" s="2266"/>
      <c r="E398" s="2271">
        <f>E205</f>
        <v>0.25</v>
      </c>
      <c r="F398" s="2137">
        <f t="shared" si="223"/>
        <v>0</v>
      </c>
      <c r="G398" s="2137">
        <f t="shared" si="224"/>
        <v>0</v>
      </c>
      <c r="H398" s="2137">
        <f t="shared" si="226"/>
        <v>0</v>
      </c>
      <c r="I398" s="2137">
        <f t="shared" si="226"/>
        <v>0</v>
      </c>
      <c r="J398" s="2137">
        <f t="shared" si="226"/>
        <v>0</v>
      </c>
      <c r="K398" s="2137">
        <f t="shared" si="226"/>
        <v>0</v>
      </c>
      <c r="L398" s="2137">
        <f t="shared" si="226"/>
        <v>0</v>
      </c>
      <c r="M398" s="2137">
        <f t="shared" si="226"/>
        <v>0</v>
      </c>
      <c r="N398" s="2138">
        <f t="shared" si="226"/>
        <v>0</v>
      </c>
    </row>
    <row r="399" spans="1:16" ht="15" customHeight="1">
      <c r="A399" s="2265"/>
      <c r="B399" s="3023"/>
      <c r="C399" s="2127" t="s">
        <v>2877</v>
      </c>
      <c r="D399" s="2266"/>
      <c r="E399" s="2141">
        <v>0.2</v>
      </c>
      <c r="F399" s="2137">
        <f t="shared" si="223"/>
        <v>0</v>
      </c>
      <c r="G399" s="2137">
        <f t="shared" si="224"/>
        <v>0</v>
      </c>
      <c r="H399" s="2137">
        <f t="shared" si="226"/>
        <v>0</v>
      </c>
      <c r="I399" s="2137">
        <f t="shared" si="226"/>
        <v>0</v>
      </c>
      <c r="J399" s="2137">
        <f t="shared" si="226"/>
        <v>0</v>
      </c>
      <c r="K399" s="2137">
        <f t="shared" si="226"/>
        <v>0</v>
      </c>
      <c r="L399" s="2137">
        <f t="shared" si="226"/>
        <v>0</v>
      </c>
      <c r="M399" s="2137">
        <f t="shared" si="226"/>
        <v>0</v>
      </c>
      <c r="N399" s="2138">
        <f t="shared" si="226"/>
        <v>0</v>
      </c>
    </row>
    <row r="400" spans="1:16" ht="15" customHeight="1">
      <c r="A400" s="2265"/>
      <c r="B400" s="3023"/>
      <c r="C400" s="2127" t="s">
        <v>2893</v>
      </c>
      <c r="D400" s="2266"/>
      <c r="E400" s="2141">
        <v>0.2</v>
      </c>
      <c r="F400" s="2137">
        <f t="shared" si="223"/>
        <v>0</v>
      </c>
      <c r="G400" s="2137">
        <f t="shared" si="224"/>
        <v>0</v>
      </c>
      <c r="H400" s="2137">
        <f t="shared" si="226"/>
        <v>0</v>
      </c>
      <c r="I400" s="2137">
        <f t="shared" si="226"/>
        <v>0</v>
      </c>
      <c r="J400" s="2137">
        <f t="shared" si="226"/>
        <v>0</v>
      </c>
      <c r="K400" s="2137">
        <f t="shared" si="226"/>
        <v>0</v>
      </c>
      <c r="L400" s="2137">
        <f t="shared" si="226"/>
        <v>0</v>
      </c>
      <c r="M400" s="2137">
        <f t="shared" si="226"/>
        <v>0</v>
      </c>
      <c r="N400" s="2138">
        <f t="shared" si="226"/>
        <v>0</v>
      </c>
    </row>
    <row r="401" spans="1:14" ht="15" customHeight="1">
      <c r="A401" s="2265"/>
      <c r="B401" s="3023"/>
      <c r="C401" s="2127" t="s">
        <v>2925</v>
      </c>
      <c r="D401" s="2266"/>
      <c r="E401" s="2141">
        <v>0.2</v>
      </c>
      <c r="F401" s="2137">
        <f t="shared" si="223"/>
        <v>0</v>
      </c>
      <c r="G401" s="2137">
        <f t="shared" si="224"/>
        <v>0</v>
      </c>
      <c r="H401" s="2137">
        <f t="shared" si="226"/>
        <v>0</v>
      </c>
      <c r="I401" s="2137">
        <f t="shared" si="226"/>
        <v>0</v>
      </c>
      <c r="J401" s="2137">
        <f t="shared" si="226"/>
        <v>0</v>
      </c>
      <c r="K401" s="2137">
        <f t="shared" si="226"/>
        <v>0</v>
      </c>
      <c r="L401" s="2137">
        <f t="shared" si="226"/>
        <v>0</v>
      </c>
      <c r="M401" s="2137">
        <f t="shared" si="226"/>
        <v>0</v>
      </c>
      <c r="N401" s="2138">
        <f t="shared" si="226"/>
        <v>0</v>
      </c>
    </row>
    <row r="402" spans="1:14" ht="15" customHeight="1">
      <c r="A402" s="2265"/>
      <c r="B402" s="3023"/>
      <c r="C402" s="2127"/>
      <c r="D402" s="2266"/>
      <c r="E402" s="2141"/>
      <c r="F402" s="2268"/>
      <c r="G402" s="2137"/>
      <c r="H402" s="2137"/>
      <c r="I402" s="2137"/>
      <c r="J402" s="2137"/>
      <c r="K402" s="2137"/>
      <c r="L402" s="2137"/>
      <c r="M402" s="2137"/>
      <c r="N402" s="2138"/>
    </row>
    <row r="403" spans="1:14" ht="15" customHeight="1">
      <c r="A403" s="2265"/>
      <c r="B403" s="3012"/>
      <c r="C403" s="2127"/>
      <c r="D403" s="2266"/>
      <c r="E403" s="2141"/>
      <c r="F403" s="2268"/>
      <c r="G403" s="2137"/>
      <c r="H403" s="2137"/>
      <c r="I403" s="2137"/>
      <c r="J403" s="2137"/>
      <c r="K403" s="2137"/>
      <c r="L403" s="2137"/>
      <c r="M403" s="2137"/>
      <c r="N403" s="2138"/>
    </row>
    <row r="404" spans="1:14" ht="15" customHeight="1">
      <c r="A404" s="2265"/>
      <c r="B404" s="3022" t="s">
        <v>477</v>
      </c>
      <c r="C404" s="2127" t="s">
        <v>2894</v>
      </c>
      <c r="D404" s="2266"/>
      <c r="E404" s="2141">
        <v>0.02</v>
      </c>
      <c r="F404" s="2268">
        <f>SUM(G404:N404)</f>
        <v>0</v>
      </c>
      <c r="G404" s="2137">
        <f t="shared" ref="G404:N406" si="227">+G346</f>
        <v>0</v>
      </c>
      <c r="H404" s="2137">
        <f t="shared" si="227"/>
        <v>0</v>
      </c>
      <c r="I404" s="2137">
        <f t="shared" si="227"/>
        <v>0</v>
      </c>
      <c r="J404" s="2137">
        <f t="shared" si="227"/>
        <v>0</v>
      </c>
      <c r="K404" s="2137">
        <f t="shared" si="227"/>
        <v>0</v>
      </c>
      <c r="L404" s="2137">
        <f t="shared" si="227"/>
        <v>0</v>
      </c>
      <c r="M404" s="2137">
        <f t="shared" si="227"/>
        <v>0</v>
      </c>
      <c r="N404" s="2138">
        <f t="shared" si="227"/>
        <v>0</v>
      </c>
    </row>
    <row r="405" spans="1:14" ht="15" customHeight="1">
      <c r="A405" s="2265"/>
      <c r="B405" s="2947"/>
      <c r="C405" s="2143" t="s">
        <v>2938</v>
      </c>
      <c r="D405" s="2266"/>
      <c r="E405" s="2141">
        <v>0.02</v>
      </c>
      <c r="F405" s="2268">
        <f>SUM(G405:N405)</f>
        <v>0</v>
      </c>
      <c r="G405" s="2137">
        <f t="shared" si="227"/>
        <v>0</v>
      </c>
      <c r="H405" s="2137">
        <f t="shared" si="227"/>
        <v>0</v>
      </c>
      <c r="I405" s="2137">
        <f t="shared" si="227"/>
        <v>0</v>
      </c>
      <c r="J405" s="2137">
        <f t="shared" si="227"/>
        <v>0</v>
      </c>
      <c r="K405" s="2137">
        <f t="shared" si="227"/>
        <v>0</v>
      </c>
      <c r="L405" s="2137">
        <f t="shared" si="227"/>
        <v>0</v>
      </c>
      <c r="M405" s="2137">
        <f t="shared" si="227"/>
        <v>0</v>
      </c>
      <c r="N405" s="2138">
        <f t="shared" si="227"/>
        <v>0</v>
      </c>
    </row>
    <row r="406" spans="1:14" ht="15" customHeight="1">
      <c r="A406" s="2265"/>
      <c r="B406" s="3021"/>
      <c r="C406" s="2143" t="s">
        <v>2903</v>
      </c>
      <c r="D406" s="2266"/>
      <c r="E406" s="2141">
        <v>0.02</v>
      </c>
      <c r="F406" s="2268">
        <f>SUM(G406:N406)</f>
        <v>0</v>
      </c>
      <c r="G406" s="2137">
        <f t="shared" si="227"/>
        <v>0</v>
      </c>
      <c r="H406" s="2137">
        <f t="shared" si="227"/>
        <v>0</v>
      </c>
      <c r="I406" s="2137">
        <f t="shared" si="227"/>
        <v>0</v>
      </c>
      <c r="J406" s="2137">
        <f t="shared" si="227"/>
        <v>0</v>
      </c>
      <c r="K406" s="2137">
        <f t="shared" si="227"/>
        <v>0</v>
      </c>
      <c r="L406" s="2137">
        <f t="shared" si="227"/>
        <v>0</v>
      </c>
      <c r="M406" s="2137">
        <f t="shared" si="227"/>
        <v>0</v>
      </c>
      <c r="N406" s="2138">
        <f t="shared" si="227"/>
        <v>0</v>
      </c>
    </row>
    <row r="407" spans="1:14" ht="15" customHeight="1">
      <c r="A407" s="2265"/>
      <c r="B407" s="2273" t="s">
        <v>2632</v>
      </c>
      <c r="C407" s="2274" t="s">
        <v>2939</v>
      </c>
      <c r="D407" s="2266"/>
      <c r="E407" s="2141">
        <v>0</v>
      </c>
      <c r="F407" s="2268">
        <f>SUM(G407:N407)</f>
        <v>0</v>
      </c>
      <c r="G407" s="2278">
        <f t="shared" ref="G407:N407" si="228">SUM(G349:G355)</f>
        <v>0</v>
      </c>
      <c r="H407" s="2278">
        <f t="shared" si="228"/>
        <v>0</v>
      </c>
      <c r="I407" s="2278">
        <f t="shared" si="228"/>
        <v>0</v>
      </c>
      <c r="J407" s="2278">
        <f>SUM(J349:J355)</f>
        <v>0</v>
      </c>
      <c r="K407" s="2278">
        <f>SUM(K349:K355)</f>
        <v>0</v>
      </c>
      <c r="L407" s="2278">
        <f t="shared" si="228"/>
        <v>0</v>
      </c>
      <c r="M407" s="2278">
        <f t="shared" si="228"/>
        <v>0</v>
      </c>
      <c r="N407" s="2279">
        <f t="shared" si="228"/>
        <v>0</v>
      </c>
    </row>
    <row r="408" spans="1:14" ht="15" customHeight="1">
      <c r="A408" s="2280" t="s">
        <v>2552</v>
      </c>
      <c r="B408" s="2281"/>
      <c r="C408" s="2281"/>
      <c r="D408" s="2282"/>
      <c r="E408" s="2283" t="s">
        <v>2787</v>
      </c>
      <c r="F408" s="2284"/>
      <c r="G408" s="2285"/>
      <c r="H408" s="2285"/>
      <c r="I408" s="2285"/>
      <c r="J408" s="2285"/>
      <c r="K408" s="2285"/>
      <c r="L408" s="2285"/>
      <c r="M408" s="2285"/>
      <c r="N408" s="2286"/>
    </row>
    <row r="409" spans="1:14" ht="15" customHeight="1">
      <c r="A409" s="2261"/>
      <c r="B409" s="2946" t="s">
        <v>2728</v>
      </c>
      <c r="C409" s="2287" t="s">
        <v>2530</v>
      </c>
      <c r="D409" s="2288"/>
      <c r="E409" s="2289" t="s">
        <v>2790</v>
      </c>
      <c r="F409" s="2290" t="s">
        <v>2789</v>
      </c>
      <c r="G409" s="2291">
        <f t="shared" ref="G409:N409" si="229">IF(G392=0,0,+G495/100)</f>
        <v>0</v>
      </c>
      <c r="H409" s="2291">
        <f t="shared" si="229"/>
        <v>0</v>
      </c>
      <c r="I409" s="2291">
        <f t="shared" si="229"/>
        <v>0</v>
      </c>
      <c r="J409" s="2291">
        <f>IF(J392=0,0,+J495/100)</f>
        <v>0</v>
      </c>
      <c r="K409" s="2291">
        <f>IF(K392=0,0,+K495/100)</f>
        <v>0</v>
      </c>
      <c r="L409" s="2291">
        <f t="shared" si="229"/>
        <v>0</v>
      </c>
      <c r="M409" s="2291">
        <f t="shared" si="229"/>
        <v>0</v>
      </c>
      <c r="N409" s="2292">
        <f t="shared" si="229"/>
        <v>0</v>
      </c>
    </row>
    <row r="410" spans="1:14" ht="15" customHeight="1">
      <c r="A410" s="2265"/>
      <c r="B410" s="2947"/>
      <c r="C410" s="2293"/>
      <c r="D410" s="2294">
        <v>1</v>
      </c>
      <c r="E410" s="2295" t="s">
        <v>2790</v>
      </c>
      <c r="F410" s="2037">
        <f>SUM(G410:N410)</f>
        <v>0</v>
      </c>
      <c r="G410" s="2296">
        <f t="shared" ref="G410:N410" si="230">ROUNDDOWN(G392*G409*$D410,0)</f>
        <v>0</v>
      </c>
      <c r="H410" s="2296">
        <f t="shared" si="230"/>
        <v>0</v>
      </c>
      <c r="I410" s="2296">
        <f t="shared" si="230"/>
        <v>0</v>
      </c>
      <c r="J410" s="2296">
        <f>ROUNDDOWN(J392*J409*$D410,0)</f>
        <v>0</v>
      </c>
      <c r="K410" s="2296">
        <f>ROUNDDOWN(K392*K409*$D410,0)</f>
        <v>0</v>
      </c>
      <c r="L410" s="2296">
        <f t="shared" si="230"/>
        <v>0</v>
      </c>
      <c r="M410" s="2296">
        <f t="shared" si="230"/>
        <v>0</v>
      </c>
      <c r="N410" s="2297">
        <f t="shared" si="230"/>
        <v>0</v>
      </c>
    </row>
    <row r="411" spans="1:14" ht="15" customHeight="1">
      <c r="A411" s="2265"/>
      <c r="B411" s="2947"/>
      <c r="C411" s="2298" t="s">
        <v>2531</v>
      </c>
      <c r="D411" s="2042"/>
      <c r="E411" s="2295" t="s">
        <v>2933</v>
      </c>
      <c r="F411" s="2299" t="s">
        <v>2789</v>
      </c>
      <c r="G411" s="2300">
        <f t="shared" ref="G411:N411" si="231">IF(G393=0,0,+G503/100)</f>
        <v>0</v>
      </c>
      <c r="H411" s="2300">
        <f t="shared" si="231"/>
        <v>0</v>
      </c>
      <c r="I411" s="2300">
        <f t="shared" si="231"/>
        <v>0</v>
      </c>
      <c r="J411" s="2300">
        <f>IF(J393=0,0,+J503/100)</f>
        <v>0</v>
      </c>
      <c r="K411" s="2300">
        <f>IF(K393=0,0,+K503/100)</f>
        <v>0</v>
      </c>
      <c r="L411" s="2300">
        <f t="shared" si="231"/>
        <v>0</v>
      </c>
      <c r="M411" s="2300">
        <f t="shared" si="231"/>
        <v>0</v>
      </c>
      <c r="N411" s="2301">
        <f t="shared" si="231"/>
        <v>0</v>
      </c>
    </row>
    <row r="412" spans="1:14" ht="15" customHeight="1">
      <c r="A412" s="2265"/>
      <c r="B412" s="3023"/>
      <c r="C412" s="2293"/>
      <c r="D412" s="2294">
        <v>1</v>
      </c>
      <c r="E412" s="2295" t="s">
        <v>2931</v>
      </c>
      <c r="F412" s="2037">
        <f>SUM(G412:N412)</f>
        <v>0</v>
      </c>
      <c r="G412" s="2296">
        <f t="shared" ref="G412:N412" si="232">IF(G301="改修",ROUNDDOWN(G393*G411*$D412,0),0)</f>
        <v>0</v>
      </c>
      <c r="H412" s="2296">
        <f t="shared" si="232"/>
        <v>0</v>
      </c>
      <c r="I412" s="2296">
        <f t="shared" si="232"/>
        <v>0</v>
      </c>
      <c r="J412" s="2296">
        <f>IF(J301="改修",ROUNDDOWN(J393*J411*$D412,0),0)</f>
        <v>0</v>
      </c>
      <c r="K412" s="2296">
        <f>IF(K301="改修",ROUNDDOWN(K393*K411*$D412,0),0)</f>
        <v>0</v>
      </c>
      <c r="L412" s="2296">
        <f t="shared" si="232"/>
        <v>0</v>
      </c>
      <c r="M412" s="2296">
        <f t="shared" si="232"/>
        <v>0</v>
      </c>
      <c r="N412" s="2297">
        <f t="shared" si="232"/>
        <v>0</v>
      </c>
    </row>
    <row r="413" spans="1:14" ht="15" customHeight="1">
      <c r="A413" s="2265"/>
      <c r="B413" s="3023"/>
      <c r="C413" s="2302" t="s">
        <v>2899</v>
      </c>
      <c r="D413" s="2303"/>
      <c r="E413" s="2304"/>
      <c r="F413" s="2305" t="s">
        <v>2940</v>
      </c>
      <c r="G413" s="2306">
        <f t="shared" ref="G413:N413" si="233">IF(G395=0,0,IF(G301="改修",G503/100,G495/100))</f>
        <v>0</v>
      </c>
      <c r="H413" s="2306">
        <f t="shared" si="233"/>
        <v>0</v>
      </c>
      <c r="I413" s="2306">
        <f t="shared" si="233"/>
        <v>0</v>
      </c>
      <c r="J413" s="2306">
        <f>IF(J395=0,0,IF(J301="改修",J503/100,J495/100))</f>
        <v>0</v>
      </c>
      <c r="K413" s="2306">
        <f>IF(K395=0,0,IF(K301="改修",K503/100,K495/100))</f>
        <v>0</v>
      </c>
      <c r="L413" s="2306">
        <f t="shared" si="233"/>
        <v>0</v>
      </c>
      <c r="M413" s="2306">
        <f t="shared" si="233"/>
        <v>0</v>
      </c>
      <c r="N413" s="2307">
        <f t="shared" si="233"/>
        <v>0</v>
      </c>
    </row>
    <row r="414" spans="1:14" ht="15" customHeight="1">
      <c r="A414" s="2265"/>
      <c r="B414" s="3023"/>
      <c r="C414" s="2308" t="s">
        <v>2900</v>
      </c>
      <c r="D414" s="2309"/>
      <c r="E414" s="2304"/>
      <c r="F414" s="2305"/>
      <c r="G414" s="2122">
        <f t="shared" ref="G414:N414" si="234">ROUND(G394*G413,0)</f>
        <v>0</v>
      </c>
      <c r="H414" s="2122">
        <f t="shared" si="234"/>
        <v>0</v>
      </c>
      <c r="I414" s="2122">
        <f t="shared" si="234"/>
        <v>0</v>
      </c>
      <c r="J414" s="2122">
        <f>ROUND(J394*J413,0)</f>
        <v>0</v>
      </c>
      <c r="K414" s="2122">
        <f>ROUND(K394*K413,0)</f>
        <v>0</v>
      </c>
      <c r="L414" s="2122">
        <f t="shared" si="234"/>
        <v>0</v>
      </c>
      <c r="M414" s="2122">
        <f t="shared" si="234"/>
        <v>0</v>
      </c>
      <c r="N414" s="2123">
        <f t="shared" si="234"/>
        <v>0</v>
      </c>
    </row>
    <row r="415" spans="1:14" ht="15" customHeight="1">
      <c r="A415" s="2265"/>
      <c r="B415" s="3030"/>
      <c r="C415" s="2310" t="s">
        <v>2901</v>
      </c>
      <c r="D415" s="2311"/>
      <c r="E415" s="2312"/>
      <c r="F415" s="2313">
        <f>SUM(G415:N415)</f>
        <v>0</v>
      </c>
      <c r="G415" s="2130">
        <f t="shared" ref="G415:N415" si="235">ROUND(G395*G413,0)</f>
        <v>0</v>
      </c>
      <c r="H415" s="2130">
        <f t="shared" si="235"/>
        <v>0</v>
      </c>
      <c r="I415" s="2130">
        <f t="shared" si="235"/>
        <v>0</v>
      </c>
      <c r="J415" s="2130">
        <f>ROUND(J395*J413,0)</f>
        <v>0</v>
      </c>
      <c r="K415" s="2130">
        <f>ROUND(K395*K413,0)</f>
        <v>0</v>
      </c>
      <c r="L415" s="2130">
        <f t="shared" si="235"/>
        <v>0</v>
      </c>
      <c r="M415" s="2130">
        <f t="shared" si="235"/>
        <v>0</v>
      </c>
      <c r="N415" s="2131">
        <f t="shared" si="235"/>
        <v>0</v>
      </c>
    </row>
    <row r="416" spans="1:14" ht="15" customHeight="1">
      <c r="A416" s="2265"/>
      <c r="B416" s="3022" t="s">
        <v>2729</v>
      </c>
      <c r="C416" s="2127" t="str">
        <f>+C396</f>
        <v>(4-2)積上げ共通仮設工事※警備員費・率除外項目除く</v>
      </c>
      <c r="D416" s="2314"/>
      <c r="E416" s="2141">
        <f t="shared" ref="E416:E421" si="236">+E396</f>
        <v>0.2</v>
      </c>
      <c r="F416" s="2037">
        <f t="shared" ref="F416:F421" si="237">INT((F338-F396)*0.5)</f>
        <v>0</v>
      </c>
      <c r="G416" s="2137">
        <f t="shared" ref="G416:G421" si="238">F416-SUM(H416:N416)</f>
        <v>0</v>
      </c>
      <c r="H416" s="2137">
        <f t="shared" ref="H416:N421" si="239">IF(H396=0,0,ROUND($F416/$F396*H396,0))</f>
        <v>0</v>
      </c>
      <c r="I416" s="2137">
        <f t="shared" si="239"/>
        <v>0</v>
      </c>
      <c r="J416" s="2137">
        <f t="shared" si="239"/>
        <v>0</v>
      </c>
      <c r="K416" s="2137">
        <f t="shared" si="239"/>
        <v>0</v>
      </c>
      <c r="L416" s="2137">
        <f t="shared" si="239"/>
        <v>0</v>
      </c>
      <c r="M416" s="2137">
        <f t="shared" si="239"/>
        <v>0</v>
      </c>
      <c r="N416" s="2138">
        <f t="shared" si="239"/>
        <v>0</v>
      </c>
    </row>
    <row r="417" spans="1:14" ht="15" customHeight="1">
      <c r="A417" s="2265"/>
      <c r="B417" s="3023"/>
      <c r="C417" s="2127" t="str">
        <f>+C397</f>
        <v>(5)直接仮設工事</v>
      </c>
      <c r="D417" s="2314"/>
      <c r="E417" s="2141">
        <f t="shared" si="236"/>
        <v>0.2</v>
      </c>
      <c r="F417" s="2037">
        <f t="shared" si="237"/>
        <v>0</v>
      </c>
      <c r="G417" s="2137">
        <f t="shared" si="238"/>
        <v>0</v>
      </c>
      <c r="H417" s="2137">
        <f t="shared" si="239"/>
        <v>0</v>
      </c>
      <c r="I417" s="2137">
        <f t="shared" si="239"/>
        <v>0</v>
      </c>
      <c r="J417" s="2137">
        <f t="shared" si="239"/>
        <v>0</v>
      </c>
      <c r="K417" s="2137">
        <f t="shared" si="239"/>
        <v>0</v>
      </c>
      <c r="L417" s="2137">
        <f t="shared" si="239"/>
        <v>0</v>
      </c>
      <c r="M417" s="2137">
        <f t="shared" si="239"/>
        <v>0</v>
      </c>
      <c r="N417" s="2138">
        <f t="shared" si="239"/>
        <v>0</v>
      </c>
    </row>
    <row r="418" spans="1:14" ht="15" customHeight="1">
      <c r="A418" s="2265"/>
      <c r="B418" s="3023"/>
      <c r="C418" s="2135" t="str">
        <f>C398</f>
        <v>(6)建具工事</v>
      </c>
      <c r="D418" s="2314"/>
      <c r="E418" s="2315">
        <f t="shared" si="236"/>
        <v>0.25</v>
      </c>
      <c r="F418" s="2037">
        <f t="shared" si="237"/>
        <v>0</v>
      </c>
      <c r="G418" s="2137">
        <f t="shared" si="238"/>
        <v>0</v>
      </c>
      <c r="H418" s="2137">
        <f t="shared" si="239"/>
        <v>0</v>
      </c>
      <c r="I418" s="2137">
        <f t="shared" si="239"/>
        <v>0</v>
      </c>
      <c r="J418" s="2137">
        <f t="shared" si="239"/>
        <v>0</v>
      </c>
      <c r="K418" s="2137">
        <f t="shared" si="239"/>
        <v>0</v>
      </c>
      <c r="L418" s="2137">
        <f t="shared" si="239"/>
        <v>0</v>
      </c>
      <c r="M418" s="2137">
        <f t="shared" si="239"/>
        <v>0</v>
      </c>
      <c r="N418" s="2138">
        <f t="shared" si="239"/>
        <v>0</v>
      </c>
    </row>
    <row r="419" spans="1:14" ht="15" customHeight="1">
      <c r="A419" s="2265"/>
      <c r="B419" s="3023"/>
      <c r="C419" s="2127" t="str">
        <f>+C399</f>
        <v>(7)場内小運搬費</v>
      </c>
      <c r="D419" s="2314"/>
      <c r="E419" s="2141">
        <f t="shared" si="236"/>
        <v>0.2</v>
      </c>
      <c r="F419" s="2037">
        <f t="shared" si="237"/>
        <v>0</v>
      </c>
      <c r="G419" s="2137">
        <f t="shared" si="238"/>
        <v>0</v>
      </c>
      <c r="H419" s="2137">
        <f t="shared" si="239"/>
        <v>0</v>
      </c>
      <c r="I419" s="2137">
        <f t="shared" si="239"/>
        <v>0</v>
      </c>
      <c r="J419" s="2137">
        <f t="shared" si="239"/>
        <v>0</v>
      </c>
      <c r="K419" s="2137">
        <f t="shared" si="239"/>
        <v>0</v>
      </c>
      <c r="L419" s="2137">
        <f t="shared" si="239"/>
        <v>0</v>
      </c>
      <c r="M419" s="2137">
        <f t="shared" si="239"/>
        <v>0</v>
      </c>
      <c r="N419" s="2138">
        <f t="shared" si="239"/>
        <v>0</v>
      </c>
    </row>
    <row r="420" spans="1:14" ht="15" customHeight="1">
      <c r="A420" s="2265"/>
      <c r="B420" s="3023"/>
      <c r="C420" s="2127" t="str">
        <f>+C400</f>
        <v>(8)〃人力積込み費</v>
      </c>
      <c r="D420" s="2314"/>
      <c r="E420" s="2141">
        <f t="shared" si="236"/>
        <v>0.2</v>
      </c>
      <c r="F420" s="2037">
        <f t="shared" si="237"/>
        <v>0</v>
      </c>
      <c r="G420" s="2137">
        <f t="shared" si="238"/>
        <v>0</v>
      </c>
      <c r="H420" s="2137">
        <f t="shared" si="239"/>
        <v>0</v>
      </c>
      <c r="I420" s="2137">
        <f t="shared" si="239"/>
        <v>0</v>
      </c>
      <c r="J420" s="2137">
        <f t="shared" si="239"/>
        <v>0</v>
      </c>
      <c r="K420" s="2137">
        <f t="shared" si="239"/>
        <v>0</v>
      </c>
      <c r="L420" s="2137">
        <f t="shared" si="239"/>
        <v>0</v>
      </c>
      <c r="M420" s="2137">
        <f t="shared" si="239"/>
        <v>0</v>
      </c>
      <c r="N420" s="2316">
        <f t="shared" si="239"/>
        <v>0</v>
      </c>
    </row>
    <row r="421" spans="1:14" ht="15" customHeight="1">
      <c r="A421" s="2265"/>
      <c r="B421" s="3023"/>
      <c r="C421" s="2127" t="str">
        <f>+C401</f>
        <v>(9)〃搬出準備費</v>
      </c>
      <c r="D421" s="2314"/>
      <c r="E421" s="2141">
        <f t="shared" si="236"/>
        <v>0.2</v>
      </c>
      <c r="F421" s="2037">
        <f t="shared" si="237"/>
        <v>0</v>
      </c>
      <c r="G421" s="2137">
        <f t="shared" si="238"/>
        <v>0</v>
      </c>
      <c r="H421" s="2137">
        <f t="shared" si="239"/>
        <v>0</v>
      </c>
      <c r="I421" s="2137">
        <f t="shared" si="239"/>
        <v>0</v>
      </c>
      <c r="J421" s="2137">
        <f t="shared" si="239"/>
        <v>0</v>
      </c>
      <c r="K421" s="2137">
        <f t="shared" si="239"/>
        <v>0</v>
      </c>
      <c r="L421" s="2137">
        <f t="shared" si="239"/>
        <v>0</v>
      </c>
      <c r="M421" s="2137">
        <f t="shared" si="239"/>
        <v>0</v>
      </c>
      <c r="N421" s="2316">
        <f t="shared" si="239"/>
        <v>0</v>
      </c>
    </row>
    <row r="422" spans="1:14" ht="15" customHeight="1">
      <c r="A422" s="2265"/>
      <c r="B422" s="3023"/>
      <c r="C422" s="2127"/>
      <c r="D422" s="2314"/>
      <c r="E422" s="2317"/>
      <c r="F422" s="2037"/>
      <c r="G422" s="2137"/>
      <c r="H422" s="2137"/>
      <c r="I422" s="2137"/>
      <c r="J422" s="2137"/>
      <c r="K422" s="2137"/>
      <c r="L422" s="2137"/>
      <c r="M422" s="2137"/>
      <c r="N422" s="2138"/>
    </row>
    <row r="423" spans="1:14" ht="15" customHeight="1">
      <c r="A423" s="2265"/>
      <c r="B423" s="3012"/>
      <c r="C423" s="2127"/>
      <c r="D423" s="2314"/>
      <c r="E423" s="2141"/>
      <c r="F423" s="2037"/>
      <c r="G423" s="2137"/>
      <c r="H423" s="2137"/>
      <c r="I423" s="2137"/>
      <c r="J423" s="2137"/>
      <c r="K423" s="2137"/>
      <c r="L423" s="2137"/>
      <c r="M423" s="2137"/>
      <c r="N423" s="2138"/>
    </row>
    <row r="424" spans="1:14" ht="15" customHeight="1">
      <c r="A424" s="2265"/>
      <c r="B424" s="3022" t="s">
        <v>477</v>
      </c>
      <c r="C424" s="2127" t="s">
        <v>2894</v>
      </c>
      <c r="D424" s="2314"/>
      <c r="E424" s="2141">
        <f>+E404</f>
        <v>0.02</v>
      </c>
      <c r="F424" s="2037">
        <f>INT(F404*E424)</f>
        <v>0</v>
      </c>
      <c r="G424" s="2137">
        <f>F424-SUM(H424:N424)</f>
        <v>0</v>
      </c>
      <c r="H424" s="2137">
        <f t="shared" ref="H424:N426" si="240">IF(H404=0,0,ROUND($F424/$F404*H404,0))</f>
        <v>0</v>
      </c>
      <c r="I424" s="2137">
        <f t="shared" si="240"/>
        <v>0</v>
      </c>
      <c r="J424" s="2137">
        <f t="shared" si="240"/>
        <v>0</v>
      </c>
      <c r="K424" s="2137">
        <f t="shared" si="240"/>
        <v>0</v>
      </c>
      <c r="L424" s="2137">
        <f t="shared" si="240"/>
        <v>0</v>
      </c>
      <c r="M424" s="2137">
        <f t="shared" si="240"/>
        <v>0</v>
      </c>
      <c r="N424" s="2316">
        <f t="shared" si="240"/>
        <v>0</v>
      </c>
    </row>
    <row r="425" spans="1:14" ht="15" customHeight="1">
      <c r="A425" s="2265"/>
      <c r="B425" s="2947"/>
      <c r="C425" s="2143" t="s">
        <v>2941</v>
      </c>
      <c r="D425" s="2314"/>
      <c r="E425" s="2141">
        <f>+E405</f>
        <v>0.02</v>
      </c>
      <c r="F425" s="2037">
        <f>INT(F405*E425)</f>
        <v>0</v>
      </c>
      <c r="G425" s="2137">
        <f>F425-SUM(H425:N425)</f>
        <v>0</v>
      </c>
      <c r="H425" s="2137">
        <f t="shared" si="240"/>
        <v>0</v>
      </c>
      <c r="I425" s="2137">
        <f t="shared" si="240"/>
        <v>0</v>
      </c>
      <c r="J425" s="2137">
        <f t="shared" si="240"/>
        <v>0</v>
      </c>
      <c r="K425" s="2137">
        <f t="shared" si="240"/>
        <v>0</v>
      </c>
      <c r="L425" s="2137">
        <f t="shared" si="240"/>
        <v>0</v>
      </c>
      <c r="M425" s="2137">
        <f t="shared" si="240"/>
        <v>0</v>
      </c>
      <c r="N425" s="2316">
        <f t="shared" si="240"/>
        <v>0</v>
      </c>
    </row>
    <row r="426" spans="1:14" ht="14.25" customHeight="1">
      <c r="A426" s="2265"/>
      <c r="B426" s="3021"/>
      <c r="C426" s="2143" t="s">
        <v>2896</v>
      </c>
      <c r="D426" s="2314"/>
      <c r="E426" s="2141">
        <f>+E406</f>
        <v>0.02</v>
      </c>
      <c r="F426" s="2037">
        <f>INT(F406*E426)</f>
        <v>0</v>
      </c>
      <c r="G426" s="2137">
        <f>F426-SUM(H426:N426)</f>
        <v>0</v>
      </c>
      <c r="H426" s="2137">
        <f t="shared" si="240"/>
        <v>0</v>
      </c>
      <c r="I426" s="2137">
        <f t="shared" si="240"/>
        <v>0</v>
      </c>
      <c r="J426" s="2137">
        <f t="shared" si="240"/>
        <v>0</v>
      </c>
      <c r="K426" s="2137">
        <f t="shared" si="240"/>
        <v>0</v>
      </c>
      <c r="L426" s="2137">
        <f t="shared" si="240"/>
        <v>0</v>
      </c>
      <c r="M426" s="2137">
        <f t="shared" si="240"/>
        <v>0</v>
      </c>
      <c r="N426" s="2316">
        <f t="shared" si="240"/>
        <v>0</v>
      </c>
    </row>
    <row r="427" spans="1:14" ht="14.25" customHeight="1">
      <c r="A427" s="2265"/>
      <c r="B427" s="2318" t="s">
        <v>2561</v>
      </c>
      <c r="C427" s="2319" t="s">
        <v>2904</v>
      </c>
      <c r="D427" s="2320"/>
      <c r="E427" s="2141"/>
      <c r="F427" s="2321">
        <f>SUM(G427:N427)</f>
        <v>0</v>
      </c>
      <c r="G427" s="2522">
        <f t="shared" ref="G427:N427" si="241">G62+G214</f>
        <v>0</v>
      </c>
      <c r="H427" s="2522">
        <f t="shared" si="241"/>
        <v>0</v>
      </c>
      <c r="I427" s="2522">
        <f t="shared" si="241"/>
        <v>0</v>
      </c>
      <c r="J427" s="2522">
        <f>J62+J214</f>
        <v>0</v>
      </c>
      <c r="K427" s="2522">
        <f>K62+K214</f>
        <v>0</v>
      </c>
      <c r="L427" s="2522">
        <f t="shared" si="241"/>
        <v>0</v>
      </c>
      <c r="M427" s="2522">
        <f t="shared" si="241"/>
        <v>0</v>
      </c>
      <c r="N427" s="2523">
        <f t="shared" si="241"/>
        <v>0</v>
      </c>
    </row>
    <row r="428" spans="1:14" ht="15" customHeight="1">
      <c r="A428" s="2265"/>
      <c r="B428" s="2322" t="s">
        <v>2563</v>
      </c>
      <c r="C428" s="2323" t="s">
        <v>2794</v>
      </c>
      <c r="D428" s="2320"/>
      <c r="E428" s="2141"/>
      <c r="F428" s="2268"/>
      <c r="G428" s="2137"/>
      <c r="H428" s="2137"/>
      <c r="I428" s="2137"/>
      <c r="J428" s="2137"/>
      <c r="K428" s="2137"/>
      <c r="L428" s="2137"/>
      <c r="M428" s="2137"/>
      <c r="N428" s="2138"/>
    </row>
    <row r="429" spans="1:14" ht="15" customHeight="1">
      <c r="A429" s="2265"/>
      <c r="B429" s="2324" t="s">
        <v>2632</v>
      </c>
      <c r="C429" s="2325" t="s">
        <v>2942</v>
      </c>
      <c r="D429" s="2326"/>
      <c r="E429" s="2327">
        <f>+E407</f>
        <v>0</v>
      </c>
      <c r="F429" s="2268">
        <f>INT(F407*E429)</f>
        <v>0</v>
      </c>
      <c r="G429" s="2137">
        <f>F429-SUM(H429:N429)</f>
        <v>0</v>
      </c>
      <c r="H429" s="2137">
        <f t="shared" ref="H429:N429" si="242">IF(H407=0,0,ROUND($F429/$F407*H407,0))</f>
        <v>0</v>
      </c>
      <c r="I429" s="2137">
        <f t="shared" si="242"/>
        <v>0</v>
      </c>
      <c r="J429" s="2137">
        <f t="shared" si="242"/>
        <v>0</v>
      </c>
      <c r="K429" s="2137">
        <f t="shared" si="242"/>
        <v>0</v>
      </c>
      <c r="L429" s="2137">
        <f t="shared" si="242"/>
        <v>0</v>
      </c>
      <c r="M429" s="2137">
        <f t="shared" si="242"/>
        <v>0</v>
      </c>
      <c r="N429" s="2316">
        <f t="shared" si="242"/>
        <v>0</v>
      </c>
    </row>
    <row r="430" spans="1:14" ht="15" customHeight="1" thickBot="1">
      <c r="A430" s="2328"/>
      <c r="B430" s="2329"/>
      <c r="C430" s="2330"/>
      <c r="D430" s="2331"/>
      <c r="E430" s="2327"/>
      <c r="F430" s="2332"/>
      <c r="G430" s="2137"/>
      <c r="H430" s="2333"/>
      <c r="I430" s="2333"/>
      <c r="J430" s="2333"/>
      <c r="K430" s="2333"/>
      <c r="L430" s="2333"/>
      <c r="M430" s="2333"/>
      <c r="N430" s="2334"/>
    </row>
    <row r="431" spans="1:14" ht="15" customHeight="1" thickTop="1">
      <c r="A431" s="2335"/>
      <c r="B431" s="2336"/>
      <c r="C431" s="2337" t="s">
        <v>2652</v>
      </c>
      <c r="D431" s="2338"/>
      <c r="E431" s="2339"/>
      <c r="F431" s="2340">
        <f>SUM(F409:F430)</f>
        <v>0</v>
      </c>
      <c r="G431" s="2340">
        <f t="shared" ref="G431:N431" si="243">G410+G412+SUM(G414:G429)</f>
        <v>0</v>
      </c>
      <c r="H431" s="2340">
        <f t="shared" si="243"/>
        <v>0</v>
      </c>
      <c r="I431" s="2340">
        <f t="shared" si="243"/>
        <v>0</v>
      </c>
      <c r="J431" s="2340">
        <f>J410+J412+SUM(J414:J429)</f>
        <v>0</v>
      </c>
      <c r="K431" s="2340">
        <f>K410+K412+SUM(K414:K429)</f>
        <v>0</v>
      </c>
      <c r="L431" s="2340">
        <f t="shared" si="243"/>
        <v>0</v>
      </c>
      <c r="M431" s="2340">
        <f t="shared" si="243"/>
        <v>0</v>
      </c>
      <c r="N431" s="2341">
        <f t="shared" si="243"/>
        <v>0</v>
      </c>
    </row>
    <row r="432" spans="1:14" ht="15" customHeight="1">
      <c r="A432" s="2342"/>
      <c r="B432" s="2343"/>
      <c r="C432" s="2344" t="s">
        <v>2653</v>
      </c>
      <c r="D432" s="2345"/>
      <c r="E432" s="2346"/>
      <c r="F432" s="2251">
        <f>SUM(G432:N432)</f>
        <v>0</v>
      </c>
      <c r="G432" s="2252">
        <f t="shared" ref="G432:N432" si="244">+G317+G431</f>
        <v>0</v>
      </c>
      <c r="H432" s="2252">
        <f t="shared" si="244"/>
        <v>0</v>
      </c>
      <c r="I432" s="2252">
        <f t="shared" si="244"/>
        <v>0</v>
      </c>
      <c r="J432" s="2252">
        <f>+J317+J431</f>
        <v>0</v>
      </c>
      <c r="K432" s="2252">
        <f>+K317+K431</f>
        <v>0</v>
      </c>
      <c r="L432" s="2252">
        <f t="shared" si="244"/>
        <v>0</v>
      </c>
      <c r="M432" s="2252">
        <f t="shared" si="244"/>
        <v>0</v>
      </c>
      <c r="N432" s="2347">
        <f t="shared" si="244"/>
        <v>0</v>
      </c>
    </row>
    <row r="433" spans="1:14" ht="15" customHeight="1">
      <c r="A433" s="1705"/>
      <c r="B433" s="1705"/>
      <c r="C433" s="1965" t="s">
        <v>2906</v>
      </c>
      <c r="D433" s="1965"/>
      <c r="E433" s="1706"/>
      <c r="F433" s="1706"/>
      <c r="G433" s="1966"/>
      <c r="H433" s="1715"/>
      <c r="I433" s="1715"/>
      <c r="J433" s="1715"/>
      <c r="K433" s="1715"/>
      <c r="L433" s="1715"/>
      <c r="M433" s="1715"/>
      <c r="N433" s="1711" t="s">
        <v>2943</v>
      </c>
    </row>
    <row r="434" spans="1:14" ht="15" customHeight="1">
      <c r="A434" s="1705"/>
      <c r="B434" s="1705"/>
      <c r="C434" s="1705"/>
      <c r="D434" s="1705"/>
      <c r="E434" s="1705"/>
      <c r="F434" s="1705"/>
      <c r="G434" s="1715"/>
      <c r="H434" s="1715"/>
      <c r="I434" s="1715"/>
      <c r="J434" s="1715"/>
      <c r="K434" s="1715"/>
      <c r="L434" s="1715"/>
      <c r="M434" s="1715"/>
      <c r="N434" s="1715"/>
    </row>
    <row r="435" spans="1:14" ht="15" customHeight="1">
      <c r="A435" s="3031"/>
      <c r="B435" s="3032"/>
      <c r="C435" s="3032"/>
      <c r="D435" s="2348"/>
      <c r="E435" s="2248" t="s">
        <v>2656</v>
      </c>
      <c r="F435" s="2248" t="s">
        <v>2505</v>
      </c>
      <c r="G435" s="2249" t="str">
        <f t="shared" ref="G435:N435" si="245">+G302</f>
        <v>工事１</v>
      </c>
      <c r="H435" s="2249" t="str">
        <f t="shared" si="245"/>
        <v>工事２</v>
      </c>
      <c r="I435" s="2249" t="str">
        <f t="shared" si="245"/>
        <v>工事３</v>
      </c>
      <c r="J435" s="2249" t="str">
        <f>+J302</f>
        <v>工事３</v>
      </c>
      <c r="K435" s="2249" t="str">
        <f>+K302</f>
        <v>工事３</v>
      </c>
      <c r="L435" s="2249" t="str">
        <f t="shared" si="245"/>
        <v>工事４</v>
      </c>
      <c r="M435" s="2249" t="str">
        <f t="shared" si="245"/>
        <v>工事５</v>
      </c>
      <c r="N435" s="2349" t="str">
        <f t="shared" si="245"/>
        <v>工事６</v>
      </c>
    </row>
    <row r="436" spans="1:14" ht="15" customHeight="1">
      <c r="A436" s="3033"/>
      <c r="B436" s="3034"/>
      <c r="C436" s="3034"/>
      <c r="D436" s="2350"/>
      <c r="E436" s="2346"/>
      <c r="F436" s="2351"/>
      <c r="G436" s="2352"/>
      <c r="H436" s="2352"/>
      <c r="I436" s="2352"/>
      <c r="J436" s="2352"/>
      <c r="K436" s="2352"/>
      <c r="L436" s="2352"/>
      <c r="M436" s="2352"/>
      <c r="N436" s="2353"/>
    </row>
    <row r="437" spans="1:14" ht="15" customHeight="1">
      <c r="A437" s="2354"/>
      <c r="B437" s="2355"/>
      <c r="C437" s="2356" t="s">
        <v>2797</v>
      </c>
      <c r="D437" s="2357"/>
      <c r="E437" s="2358"/>
      <c r="F437" s="2359">
        <f t="shared" ref="F437:N437" si="246">+F432</f>
        <v>0</v>
      </c>
      <c r="G437" s="2359">
        <f t="shared" si="246"/>
        <v>0</v>
      </c>
      <c r="H437" s="2359">
        <f t="shared" si="246"/>
        <v>0</v>
      </c>
      <c r="I437" s="2359">
        <f t="shared" si="246"/>
        <v>0</v>
      </c>
      <c r="J437" s="2359">
        <f>+J432</f>
        <v>0</v>
      </c>
      <c r="K437" s="2359">
        <f>+K432</f>
        <v>0</v>
      </c>
      <c r="L437" s="2359">
        <f t="shared" si="246"/>
        <v>0</v>
      </c>
      <c r="M437" s="2359">
        <f t="shared" si="246"/>
        <v>0</v>
      </c>
      <c r="N437" s="2360">
        <f t="shared" si="246"/>
        <v>0</v>
      </c>
    </row>
    <row r="438" spans="1:14" ht="15" customHeight="1">
      <c r="A438" s="2032"/>
      <c r="B438" s="2035"/>
      <c r="C438" s="2361"/>
      <c r="D438" s="2362"/>
      <c r="E438" s="1877" t="s">
        <v>2944</v>
      </c>
      <c r="F438" s="2363">
        <f>SUM(G438:N438)</f>
        <v>0</v>
      </c>
      <c r="G438" s="2128">
        <f t="shared" ref="G438:N438" si="247">G391+G412+G415+G353+G354</f>
        <v>0</v>
      </c>
      <c r="H438" s="2128">
        <f t="shared" si="247"/>
        <v>0</v>
      </c>
      <c r="I438" s="2128">
        <f t="shared" si="247"/>
        <v>0</v>
      </c>
      <c r="J438" s="2128">
        <f>J391+J412+J415+J353+J354</f>
        <v>0</v>
      </c>
      <c r="K438" s="2128">
        <f>K391+K412+K415+K353+K354</f>
        <v>0</v>
      </c>
      <c r="L438" s="2128">
        <f t="shared" si="247"/>
        <v>0</v>
      </c>
      <c r="M438" s="2128">
        <f t="shared" si="247"/>
        <v>0</v>
      </c>
      <c r="N438" s="2129">
        <f t="shared" si="247"/>
        <v>0</v>
      </c>
    </row>
    <row r="439" spans="1:14" ht="15" customHeight="1">
      <c r="A439" s="2046"/>
      <c r="B439" s="2049"/>
      <c r="C439" s="2364"/>
      <c r="D439" s="2365"/>
      <c r="E439" s="2366"/>
      <c r="F439" s="2277"/>
      <c r="G439" s="2278"/>
      <c r="H439" s="2278"/>
      <c r="I439" s="2278"/>
      <c r="J439" s="2278"/>
      <c r="K439" s="2278"/>
      <c r="L439" s="2278"/>
      <c r="M439" s="2278"/>
      <c r="N439" s="2279"/>
    </row>
    <row r="440" spans="1:14" ht="15" customHeight="1">
      <c r="A440" s="1716"/>
      <c r="B440" s="1717"/>
      <c r="C440" s="1717"/>
      <c r="D440" s="2367"/>
      <c r="E440" s="2358" t="str">
        <f>E302</f>
        <v>有り</v>
      </c>
      <c r="F440" s="3013" t="s">
        <v>2660</v>
      </c>
      <c r="G440" s="3013"/>
      <c r="H440" s="2263"/>
      <c r="I440" s="2263"/>
      <c r="J440" s="2263"/>
      <c r="K440" s="2263"/>
      <c r="L440" s="2263"/>
      <c r="M440" s="2263"/>
      <c r="N440" s="2264"/>
    </row>
    <row r="441" spans="1:14" ht="15" customHeight="1">
      <c r="A441" s="3014" t="s">
        <v>2661</v>
      </c>
      <c r="B441" s="3014"/>
      <c r="C441" s="3015"/>
      <c r="D441" s="2368"/>
      <c r="E441" s="2366" t="str">
        <f>+E303</f>
        <v>有り</v>
      </c>
      <c r="F441" s="3016" t="s">
        <v>2662</v>
      </c>
      <c r="G441" s="3016"/>
      <c r="H441" s="2278"/>
      <c r="I441" s="2278"/>
      <c r="J441" s="2278"/>
      <c r="K441" s="2278"/>
      <c r="L441" s="2278"/>
      <c r="M441" s="2278"/>
      <c r="N441" s="2279"/>
    </row>
    <row r="442" spans="1:14" ht="15" customHeight="1">
      <c r="A442" s="3024"/>
      <c r="B442" s="2369" t="s">
        <v>161</v>
      </c>
      <c r="C442" s="2370" t="s">
        <v>2908</v>
      </c>
      <c r="D442" s="2371"/>
      <c r="E442" s="2372">
        <f>G509/100</f>
        <v>0.11259999999999999</v>
      </c>
      <c r="F442" s="2359">
        <f>SUM(G442:N442)</f>
        <v>0</v>
      </c>
      <c r="G442" s="2373">
        <f t="shared" ref="G442:N442" si="248">G335+G336+G337+G353+G354+G410+G412+G415+SUM(G424:G429)-G447</f>
        <v>0</v>
      </c>
      <c r="H442" s="2373">
        <f t="shared" si="248"/>
        <v>0</v>
      </c>
      <c r="I442" s="2373">
        <f t="shared" si="248"/>
        <v>0</v>
      </c>
      <c r="J442" s="2373">
        <f>J335+J336+J337+J353+J354+J410+J412+J415+SUM(J424:J429)-J447</f>
        <v>0</v>
      </c>
      <c r="K442" s="2373">
        <f>K335+K336+K337+K353+K354+K410+K412+K415+SUM(K424:K429)-K447</f>
        <v>0</v>
      </c>
      <c r="L442" s="2373">
        <f t="shared" si="248"/>
        <v>0</v>
      </c>
      <c r="M442" s="2373">
        <f t="shared" si="248"/>
        <v>0</v>
      </c>
      <c r="N442" s="2374">
        <f t="shared" si="248"/>
        <v>0</v>
      </c>
    </row>
    <row r="443" spans="1:14" ht="15" customHeight="1">
      <c r="A443" s="3025"/>
      <c r="B443" s="3026" t="s">
        <v>2664</v>
      </c>
      <c r="C443" s="2375" t="s">
        <v>2665</v>
      </c>
      <c r="D443" s="2320"/>
      <c r="E443" s="2376">
        <f>IF(E440="無し",0.05,0)</f>
        <v>0</v>
      </c>
      <c r="F443" s="2268">
        <f>SUM(G443:N443)</f>
        <v>0</v>
      </c>
      <c r="G443" s="2128">
        <f t="shared" ref="G443:N443" si="249">G442</f>
        <v>0</v>
      </c>
      <c r="H443" s="2128">
        <f t="shared" si="249"/>
        <v>0</v>
      </c>
      <c r="I443" s="2128">
        <f t="shared" si="249"/>
        <v>0</v>
      </c>
      <c r="J443" s="2128">
        <f>J442</f>
        <v>0</v>
      </c>
      <c r="K443" s="2128">
        <f>K442</f>
        <v>0</v>
      </c>
      <c r="L443" s="2128">
        <f t="shared" si="249"/>
        <v>0</v>
      </c>
      <c r="M443" s="2128">
        <f t="shared" si="249"/>
        <v>0</v>
      </c>
      <c r="N443" s="2129">
        <f t="shared" si="249"/>
        <v>0</v>
      </c>
    </row>
    <row r="444" spans="1:14" ht="15" customHeight="1">
      <c r="A444" s="3025"/>
      <c r="B444" s="3026"/>
      <c r="C444" s="2375" t="s">
        <v>2666</v>
      </c>
      <c r="D444" s="2377"/>
      <c r="E444" s="2141">
        <f>IF(E441="無し",0,0.0004)</f>
        <v>4.0000000000000002E-4</v>
      </c>
      <c r="F444" s="2128">
        <f t="shared" ref="F444:N444" si="250">F442</f>
        <v>0</v>
      </c>
      <c r="G444" s="2128">
        <f t="shared" si="250"/>
        <v>0</v>
      </c>
      <c r="H444" s="2128">
        <f t="shared" si="250"/>
        <v>0</v>
      </c>
      <c r="I444" s="2128">
        <f t="shared" si="250"/>
        <v>0</v>
      </c>
      <c r="J444" s="2128">
        <f>J442</f>
        <v>0</v>
      </c>
      <c r="K444" s="2128">
        <f>K442</f>
        <v>0</v>
      </c>
      <c r="L444" s="2128">
        <f t="shared" si="250"/>
        <v>0</v>
      </c>
      <c r="M444" s="2128">
        <f t="shared" si="250"/>
        <v>0</v>
      </c>
      <c r="N444" s="2129">
        <f t="shared" si="250"/>
        <v>0</v>
      </c>
    </row>
    <row r="445" spans="1:14" ht="15" customHeight="1">
      <c r="A445" s="3025"/>
      <c r="B445" s="3027" t="s">
        <v>2800</v>
      </c>
      <c r="C445" s="2375"/>
      <c r="D445" s="2378"/>
      <c r="E445" s="2378"/>
      <c r="F445" s="2268"/>
      <c r="G445" s="2137"/>
      <c r="H445" s="2137"/>
      <c r="I445" s="2137"/>
      <c r="J445" s="2137"/>
      <c r="K445" s="2137"/>
      <c r="L445" s="2137"/>
      <c r="M445" s="2137"/>
      <c r="N445" s="2138"/>
    </row>
    <row r="446" spans="1:14" ht="15" customHeight="1">
      <c r="A446" s="3025"/>
      <c r="B446" s="3028"/>
      <c r="C446" s="2379" t="s">
        <v>2945</v>
      </c>
      <c r="D446" s="2378"/>
      <c r="E446" s="2378"/>
      <c r="F446" s="2268">
        <f>SUM(G446:N446)</f>
        <v>0</v>
      </c>
      <c r="G446" s="2137">
        <f t="shared" ref="G446:N446" si="251">+SUM(G395:G403,G415:G423)</f>
        <v>0</v>
      </c>
      <c r="H446" s="2137">
        <f t="shared" si="251"/>
        <v>0</v>
      </c>
      <c r="I446" s="2137">
        <f t="shared" si="251"/>
        <v>0</v>
      </c>
      <c r="J446" s="2137">
        <f>+SUM(J395:J403,J415:J423)</f>
        <v>0</v>
      </c>
      <c r="K446" s="2137">
        <f>+SUM(K395:K403,K415:K423)</f>
        <v>0</v>
      </c>
      <c r="L446" s="2137">
        <f t="shared" si="251"/>
        <v>0</v>
      </c>
      <c r="M446" s="2137">
        <f t="shared" si="251"/>
        <v>0</v>
      </c>
      <c r="N446" s="2138">
        <f t="shared" si="251"/>
        <v>0</v>
      </c>
    </row>
    <row r="447" spans="1:14" ht="15" customHeight="1">
      <c r="A447" s="3025"/>
      <c r="B447" s="3026" t="s">
        <v>2667</v>
      </c>
      <c r="C447" s="2380" t="s">
        <v>2802</v>
      </c>
      <c r="D447" s="2381"/>
      <c r="E447" s="2317">
        <v>0</v>
      </c>
      <c r="F447" s="2268">
        <f>SUM(G447:N447)</f>
        <v>0</v>
      </c>
      <c r="G447" s="2137">
        <f t="shared" ref="G447:N447" si="252">+G355</f>
        <v>0</v>
      </c>
      <c r="H447" s="2137">
        <f t="shared" si="252"/>
        <v>0</v>
      </c>
      <c r="I447" s="2137">
        <f t="shared" si="252"/>
        <v>0</v>
      </c>
      <c r="J447" s="2137">
        <f>+J355</f>
        <v>0</v>
      </c>
      <c r="K447" s="2137">
        <f>+K355</f>
        <v>0</v>
      </c>
      <c r="L447" s="2137">
        <f t="shared" si="252"/>
        <v>0</v>
      </c>
      <c r="M447" s="2137">
        <f t="shared" si="252"/>
        <v>0</v>
      </c>
      <c r="N447" s="2138">
        <f t="shared" si="252"/>
        <v>0</v>
      </c>
    </row>
    <row r="448" spans="1:14" ht="15" customHeight="1">
      <c r="A448" s="3025"/>
      <c r="B448" s="3026"/>
      <c r="C448" s="2362"/>
      <c r="D448" s="2382"/>
      <c r="E448" s="2317"/>
      <c r="F448" s="2268"/>
      <c r="G448" s="2137"/>
      <c r="H448" s="2137"/>
      <c r="I448" s="2137"/>
      <c r="J448" s="2137"/>
      <c r="K448" s="2137"/>
      <c r="L448" s="2137"/>
      <c r="M448" s="2137"/>
      <c r="N448" s="2138"/>
    </row>
    <row r="449" spans="1:14" ht="15" customHeight="1">
      <c r="A449" s="3025"/>
      <c r="B449" s="3027"/>
      <c r="C449" s="2383"/>
      <c r="D449" s="2384"/>
      <c r="E449" s="2385"/>
      <c r="F449" s="2277"/>
      <c r="G449" s="2278"/>
      <c r="H449" s="2278"/>
      <c r="I449" s="2278"/>
      <c r="J449" s="2278"/>
      <c r="K449" s="2278"/>
      <c r="L449" s="2278"/>
      <c r="M449" s="2278"/>
      <c r="N449" s="2279"/>
    </row>
    <row r="450" spans="1:14" ht="15" customHeight="1">
      <c r="A450" s="1716"/>
      <c r="B450" s="1717"/>
      <c r="C450" s="2386"/>
      <c r="D450" s="2387"/>
      <c r="E450" s="2388"/>
      <c r="F450" s="2359"/>
      <c r="G450" s="2263"/>
      <c r="H450" s="2263"/>
      <c r="I450" s="2263"/>
      <c r="J450" s="2263"/>
      <c r="K450" s="2263"/>
      <c r="L450" s="2263"/>
      <c r="M450" s="2263"/>
      <c r="N450" s="2264"/>
    </row>
    <row r="451" spans="1:14" ht="15" customHeight="1">
      <c r="A451" s="3014" t="s">
        <v>2668</v>
      </c>
      <c r="B451" s="3014"/>
      <c r="C451" s="3029"/>
      <c r="D451" s="2389"/>
      <c r="E451" s="2390"/>
      <c r="F451" s="2277"/>
      <c r="G451" s="2278"/>
      <c r="H451" s="2278"/>
      <c r="I451" s="2278"/>
      <c r="J451" s="2278"/>
      <c r="K451" s="2278"/>
      <c r="L451" s="2278"/>
      <c r="M451" s="2278"/>
      <c r="N451" s="2279"/>
    </row>
    <row r="452" spans="1:14" ht="15" customHeight="1">
      <c r="A452" s="1728"/>
      <c r="B452" s="2391" t="s">
        <v>161</v>
      </c>
      <c r="C452" s="2392" t="s">
        <v>2946</v>
      </c>
      <c r="D452" s="2371"/>
      <c r="E452" s="2393">
        <f>+E442</f>
        <v>0.11259999999999999</v>
      </c>
      <c r="F452" s="2359">
        <f>INT(F442*E452)</f>
        <v>0</v>
      </c>
      <c r="G452" s="2263">
        <f>F452-SUM(H452:N452)</f>
        <v>0</v>
      </c>
      <c r="H452" s="2263">
        <f t="shared" ref="H452:N452" si="253">IF(H442=0,0,ROUND($F452/$F442*H442,0))</f>
        <v>0</v>
      </c>
      <c r="I452" s="2263">
        <f t="shared" si="253"/>
        <v>0</v>
      </c>
      <c r="J452" s="2263">
        <f t="shared" si="253"/>
        <v>0</v>
      </c>
      <c r="K452" s="2263">
        <f t="shared" si="253"/>
        <v>0</v>
      </c>
      <c r="L452" s="2263">
        <f t="shared" si="253"/>
        <v>0</v>
      </c>
      <c r="M452" s="2263">
        <f t="shared" si="253"/>
        <v>0</v>
      </c>
      <c r="N452" s="2264">
        <f t="shared" si="253"/>
        <v>0</v>
      </c>
    </row>
    <row r="453" spans="1:14" ht="15" customHeight="1">
      <c r="A453" s="1728"/>
      <c r="B453" s="3026" t="s">
        <v>2664</v>
      </c>
      <c r="C453" s="2375" t="s">
        <v>2665</v>
      </c>
      <c r="D453" s="2381"/>
      <c r="E453" s="2141">
        <f>+E443</f>
        <v>0</v>
      </c>
      <c r="F453" s="2268">
        <f>INT((F443*E452*E453)+(F456*E453))</f>
        <v>0</v>
      </c>
      <c r="G453" s="2137">
        <f>F453-SUM(H453:N453)</f>
        <v>0</v>
      </c>
      <c r="H453" s="2137">
        <f t="shared" ref="H453:N453" si="254">IF(H443+H456=0,0,ROUND($F453/$F443*H443,0))</f>
        <v>0</v>
      </c>
      <c r="I453" s="2137">
        <f t="shared" si="254"/>
        <v>0</v>
      </c>
      <c r="J453" s="2137">
        <f t="shared" si="254"/>
        <v>0</v>
      </c>
      <c r="K453" s="2137">
        <f t="shared" si="254"/>
        <v>0</v>
      </c>
      <c r="L453" s="2137">
        <f t="shared" si="254"/>
        <v>0</v>
      </c>
      <c r="M453" s="2137">
        <f t="shared" si="254"/>
        <v>0</v>
      </c>
      <c r="N453" s="2138">
        <f t="shared" si="254"/>
        <v>0</v>
      </c>
    </row>
    <row r="454" spans="1:14" ht="15" customHeight="1">
      <c r="A454" s="1728"/>
      <c r="B454" s="3026"/>
      <c r="C454" s="2375" t="s">
        <v>2666</v>
      </c>
      <c r="D454" s="2381"/>
      <c r="E454" s="2141">
        <f>+E444</f>
        <v>4.0000000000000002E-4</v>
      </c>
      <c r="F454" s="2268">
        <f>INT((F444*E454)+(F456*E454))</f>
        <v>0</v>
      </c>
      <c r="G454" s="2137">
        <f>F454-SUM(H454:N454)</f>
        <v>0</v>
      </c>
      <c r="H454" s="2137">
        <f t="shared" ref="H454:N454" si="255">IF(H444+H456=0,0,ROUND($F454/$F444*H444,0))</f>
        <v>0</v>
      </c>
      <c r="I454" s="2137">
        <f t="shared" si="255"/>
        <v>0</v>
      </c>
      <c r="J454" s="2137">
        <f t="shared" si="255"/>
        <v>0</v>
      </c>
      <c r="K454" s="2137">
        <f t="shared" si="255"/>
        <v>0</v>
      </c>
      <c r="L454" s="2137">
        <f t="shared" si="255"/>
        <v>0</v>
      </c>
      <c r="M454" s="2137">
        <f t="shared" si="255"/>
        <v>0</v>
      </c>
      <c r="N454" s="2138">
        <f t="shared" si="255"/>
        <v>0</v>
      </c>
    </row>
    <row r="455" spans="1:14" ht="15" customHeight="1">
      <c r="A455" s="1728"/>
      <c r="B455" s="3027" t="s">
        <v>2800</v>
      </c>
      <c r="C455" s="2375"/>
      <c r="D455" s="2378"/>
      <c r="E455" s="2394" t="s">
        <v>2804</v>
      </c>
      <c r="F455" s="2268"/>
      <c r="G455" s="2137"/>
      <c r="H455" s="2137"/>
      <c r="I455" s="2137"/>
      <c r="J455" s="2137"/>
      <c r="K455" s="2137"/>
      <c r="L455" s="2137"/>
      <c r="M455" s="2137"/>
      <c r="N455" s="2138"/>
    </row>
    <row r="456" spans="1:14" ht="15" customHeight="1">
      <c r="A456" s="1728"/>
      <c r="B456" s="3028"/>
      <c r="C456" s="2395" t="s">
        <v>2911</v>
      </c>
      <c r="D456" s="2378"/>
      <c r="E456" s="2378"/>
      <c r="F456" s="2085">
        <f>SUM(G456:N456)</f>
        <v>0</v>
      </c>
      <c r="G456" s="2068">
        <f t="shared" ref="G456:N456" si="256">SUM(G338:G345)-SUM(G396:G403)-SUM(G416:G423)</f>
        <v>0</v>
      </c>
      <c r="H456" s="2068">
        <f t="shared" si="256"/>
        <v>0</v>
      </c>
      <c r="I456" s="2068">
        <f t="shared" si="256"/>
        <v>0</v>
      </c>
      <c r="J456" s="2068">
        <f>SUM(J338:J345)-SUM(J396:J403)-SUM(J416:J423)</f>
        <v>0</v>
      </c>
      <c r="K456" s="2068">
        <f>SUM(K338:K345)-SUM(K396:K403)-SUM(K416:K423)</f>
        <v>0</v>
      </c>
      <c r="L456" s="2068">
        <f t="shared" si="256"/>
        <v>0</v>
      </c>
      <c r="M456" s="2068">
        <f t="shared" si="256"/>
        <v>0</v>
      </c>
      <c r="N456" s="2069">
        <f t="shared" si="256"/>
        <v>0</v>
      </c>
    </row>
    <row r="457" spans="1:14" ht="15" customHeight="1">
      <c r="A457" s="1728"/>
      <c r="B457" s="3026" t="s">
        <v>2667</v>
      </c>
      <c r="C457" s="2380" t="s">
        <v>2802</v>
      </c>
      <c r="D457" s="2381"/>
      <c r="E457" s="2141">
        <f>+E447</f>
        <v>0</v>
      </c>
      <c r="F457" s="2268">
        <f>SUM(G457:N457)</f>
        <v>0</v>
      </c>
      <c r="G457" s="2137">
        <f t="shared" ref="G457:N457" si="257">ROUNDDOWN($E457*$D457*G447,0)</f>
        <v>0</v>
      </c>
      <c r="H457" s="2137">
        <f t="shared" si="257"/>
        <v>0</v>
      </c>
      <c r="I457" s="2137">
        <f t="shared" si="257"/>
        <v>0</v>
      </c>
      <c r="J457" s="2137">
        <f>ROUNDDOWN($E457*$D457*J447,0)</f>
        <v>0</v>
      </c>
      <c r="K457" s="2137">
        <f>ROUNDDOWN($E457*$D457*K447,0)</f>
        <v>0</v>
      </c>
      <c r="L457" s="2137">
        <f t="shared" si="257"/>
        <v>0</v>
      </c>
      <c r="M457" s="2137">
        <f t="shared" si="257"/>
        <v>0</v>
      </c>
      <c r="N457" s="2138">
        <f t="shared" si="257"/>
        <v>0</v>
      </c>
    </row>
    <row r="458" spans="1:14" ht="15" customHeight="1">
      <c r="A458" s="1728"/>
      <c r="B458" s="3026"/>
      <c r="C458" s="2362"/>
      <c r="D458" s="2382"/>
      <c r="E458" s="2378">
        <f>+G449</f>
        <v>0</v>
      </c>
      <c r="F458" s="2268"/>
      <c r="G458" s="2137"/>
      <c r="H458" s="2137"/>
      <c r="I458" s="2137"/>
      <c r="J458" s="2137"/>
      <c r="K458" s="2137"/>
      <c r="L458" s="2137"/>
      <c r="M458" s="2137"/>
      <c r="N458" s="2138"/>
    </row>
    <row r="459" spans="1:14" ht="15" customHeight="1">
      <c r="A459" s="2342"/>
      <c r="B459" s="3049"/>
      <c r="C459" s="2365"/>
      <c r="D459" s="2384"/>
      <c r="E459" s="2390">
        <f>+G450</f>
        <v>0</v>
      </c>
      <c r="F459" s="2277"/>
      <c r="G459" s="2278"/>
      <c r="H459" s="2278"/>
      <c r="I459" s="2278"/>
      <c r="J459" s="2278"/>
      <c r="K459" s="2278"/>
      <c r="L459" s="2278"/>
      <c r="M459" s="2278"/>
      <c r="N459" s="2279"/>
    </row>
    <row r="460" spans="1:14" ht="15" customHeight="1">
      <c r="A460" s="2354"/>
      <c r="B460" s="2355"/>
      <c r="C460" s="2355"/>
      <c r="D460" s="2396"/>
      <c r="E460" s="2396"/>
      <c r="F460" s="2359"/>
      <c r="G460" s="2263"/>
      <c r="H460" s="2263"/>
      <c r="I460" s="2263"/>
      <c r="J460" s="2263"/>
      <c r="K460" s="2263"/>
      <c r="L460" s="2263"/>
      <c r="M460" s="2263"/>
      <c r="N460" s="2264"/>
    </row>
    <row r="461" spans="1:14" ht="15" customHeight="1">
      <c r="A461" s="2032"/>
      <c r="B461" s="2035"/>
      <c r="C461" s="2397" t="s">
        <v>2672</v>
      </c>
      <c r="D461" s="2362"/>
      <c r="E461" s="2375"/>
      <c r="F461" s="2268">
        <f>SUM(G461:N461)</f>
        <v>0</v>
      </c>
      <c r="G461" s="2137">
        <f t="shared" ref="G461:N461" si="258">SUM(G452:G459)</f>
        <v>0</v>
      </c>
      <c r="H461" s="2137">
        <f t="shared" si="258"/>
        <v>0</v>
      </c>
      <c r="I461" s="2137">
        <f t="shared" si="258"/>
        <v>0</v>
      </c>
      <c r="J461" s="2137">
        <f>SUM(J452:J459)</f>
        <v>0</v>
      </c>
      <c r="K461" s="2137">
        <f>SUM(K452:K459)</f>
        <v>0</v>
      </c>
      <c r="L461" s="2137">
        <f t="shared" si="258"/>
        <v>0</v>
      </c>
      <c r="M461" s="2137">
        <f t="shared" si="258"/>
        <v>0</v>
      </c>
      <c r="N461" s="2138">
        <f t="shared" si="258"/>
        <v>0</v>
      </c>
    </row>
    <row r="462" spans="1:14" ht="15" customHeight="1">
      <c r="A462" s="2032"/>
      <c r="B462" s="2035"/>
      <c r="C462" s="2397" t="s">
        <v>2653</v>
      </c>
      <c r="D462" s="2362"/>
      <c r="E462" s="2375"/>
      <c r="F462" s="2268">
        <f>SUM(G462:N462)</f>
        <v>0</v>
      </c>
      <c r="G462" s="2137">
        <f t="shared" ref="G462:N462" si="259">+G437</f>
        <v>0</v>
      </c>
      <c r="H462" s="2137">
        <f t="shared" si="259"/>
        <v>0</v>
      </c>
      <c r="I462" s="2137">
        <f t="shared" si="259"/>
        <v>0</v>
      </c>
      <c r="J462" s="2137">
        <f>+J437</f>
        <v>0</v>
      </c>
      <c r="K462" s="2137">
        <f>+K437</f>
        <v>0</v>
      </c>
      <c r="L462" s="2137">
        <f t="shared" si="259"/>
        <v>0</v>
      </c>
      <c r="M462" s="2137">
        <f t="shared" si="259"/>
        <v>0</v>
      </c>
      <c r="N462" s="2138">
        <f t="shared" si="259"/>
        <v>0</v>
      </c>
    </row>
    <row r="463" spans="1:14" ht="15" customHeight="1" thickBot="1">
      <c r="A463" s="2398"/>
      <c r="B463" s="2399"/>
      <c r="C463" s="2400" t="s">
        <v>2673</v>
      </c>
      <c r="D463" s="2401"/>
      <c r="E463" s="2402"/>
      <c r="F463" s="2332">
        <f>SUM(G463:N463)</f>
        <v>0</v>
      </c>
      <c r="G463" s="2333">
        <f t="shared" ref="G463:N463" si="260">SUM(G461:G462)</f>
        <v>0</v>
      </c>
      <c r="H463" s="2333">
        <f t="shared" si="260"/>
        <v>0</v>
      </c>
      <c r="I463" s="2333">
        <f t="shared" si="260"/>
        <v>0</v>
      </c>
      <c r="J463" s="2333">
        <f>SUM(J461:J462)</f>
        <v>0</v>
      </c>
      <c r="K463" s="2333">
        <f>SUM(K461:K462)</f>
        <v>0</v>
      </c>
      <c r="L463" s="2333">
        <f t="shared" si="260"/>
        <v>0</v>
      </c>
      <c r="M463" s="2333">
        <f t="shared" si="260"/>
        <v>0</v>
      </c>
      <c r="N463" s="2334">
        <f t="shared" si="260"/>
        <v>0</v>
      </c>
    </row>
    <row r="464" spans="1:14" ht="15" customHeight="1" thickTop="1">
      <c r="A464" s="1728"/>
      <c r="B464" s="1705"/>
      <c r="C464" s="1705"/>
      <c r="D464" s="2403"/>
      <c r="E464" s="2403"/>
      <c r="F464" s="2404"/>
      <c r="G464" s="2405"/>
      <c r="H464" s="2405"/>
      <c r="I464" s="2405"/>
      <c r="J464" s="2405"/>
      <c r="K464" s="2405"/>
      <c r="L464" s="2405"/>
      <c r="M464" s="2405"/>
      <c r="N464" s="2406"/>
    </row>
    <row r="465" spans="1:16" ht="15" customHeight="1">
      <c r="A465" s="2032"/>
      <c r="B465" s="2035"/>
      <c r="C465" s="2397" t="s">
        <v>2653</v>
      </c>
      <c r="D465" s="2362"/>
      <c r="E465" s="2375"/>
      <c r="F465" s="2268">
        <f>SUM(G465:N465)</f>
        <v>0</v>
      </c>
      <c r="G465" s="2137">
        <f t="shared" ref="G465:N465" si="261">+G462</f>
        <v>0</v>
      </c>
      <c r="H465" s="2137">
        <f t="shared" si="261"/>
        <v>0</v>
      </c>
      <c r="I465" s="2137">
        <f t="shared" si="261"/>
        <v>0</v>
      </c>
      <c r="J465" s="2137">
        <f>+J462</f>
        <v>0</v>
      </c>
      <c r="K465" s="2137">
        <f>+K462</f>
        <v>0</v>
      </c>
      <c r="L465" s="2137">
        <f t="shared" si="261"/>
        <v>0</v>
      </c>
      <c r="M465" s="2137">
        <f t="shared" si="261"/>
        <v>0</v>
      </c>
      <c r="N465" s="2138">
        <f t="shared" si="261"/>
        <v>0</v>
      </c>
    </row>
    <row r="466" spans="1:16" ht="15" customHeight="1">
      <c r="A466" s="2032"/>
      <c r="B466" s="2035"/>
      <c r="C466" s="2397" t="s">
        <v>2674</v>
      </c>
      <c r="D466" s="2362"/>
      <c r="E466" s="2375"/>
      <c r="F466" s="2268">
        <f>SUM(G466:N466)</f>
        <v>0</v>
      </c>
      <c r="G466" s="2137">
        <f t="shared" ref="G466:N466" si="262">+G461-(G463-G468)</f>
        <v>0</v>
      </c>
      <c r="H466" s="2137">
        <f t="shared" si="262"/>
        <v>0</v>
      </c>
      <c r="I466" s="2137">
        <f t="shared" si="262"/>
        <v>0</v>
      </c>
      <c r="J466" s="2137">
        <f>+J461-(J463-J468)</f>
        <v>0</v>
      </c>
      <c r="K466" s="2137">
        <f>+K461-(K463-K468)</f>
        <v>0</v>
      </c>
      <c r="L466" s="2137">
        <f t="shared" si="262"/>
        <v>0</v>
      </c>
      <c r="M466" s="2137">
        <f t="shared" si="262"/>
        <v>0</v>
      </c>
      <c r="N466" s="2138">
        <f t="shared" si="262"/>
        <v>0</v>
      </c>
    </row>
    <row r="467" spans="1:16" ht="15" customHeight="1">
      <c r="A467" s="2032"/>
      <c r="B467" s="2035"/>
      <c r="C467" s="2035"/>
      <c r="D467" s="2375"/>
      <c r="E467" s="2407">
        <f>F469+SUM(H468:N468)</f>
        <v>0</v>
      </c>
      <c r="F467" s="2268" t="s">
        <v>2675</v>
      </c>
      <c r="G467" s="2137">
        <f t="shared" ref="G467:N467" si="263">+G461-G466</f>
        <v>0</v>
      </c>
      <c r="H467" s="2137">
        <f t="shared" si="263"/>
        <v>0</v>
      </c>
      <c r="I467" s="2137">
        <f t="shared" si="263"/>
        <v>0</v>
      </c>
      <c r="J467" s="2137">
        <f>+J461-J466</f>
        <v>0</v>
      </c>
      <c r="K467" s="2137">
        <f>+K461-K466</f>
        <v>0</v>
      </c>
      <c r="L467" s="2137">
        <f t="shared" si="263"/>
        <v>0</v>
      </c>
      <c r="M467" s="2137">
        <f t="shared" si="263"/>
        <v>0</v>
      </c>
      <c r="N467" s="2138">
        <f t="shared" si="263"/>
        <v>0</v>
      </c>
    </row>
    <row r="468" spans="1:16" ht="15" customHeight="1">
      <c r="A468" s="2408"/>
      <c r="B468" s="2033"/>
      <c r="C468" s="2033" t="s">
        <v>2676</v>
      </c>
      <c r="D468" s="2409"/>
      <c r="E468" s="2407">
        <f>ROUNDDOWN(E467,4-LEN(E467))</f>
        <v>0</v>
      </c>
      <c r="F468" s="2410">
        <f>SUM(G468:N468)</f>
        <v>0</v>
      </c>
      <c r="G468" s="2411">
        <f>F469-E469</f>
        <v>0</v>
      </c>
      <c r="H468" s="2411">
        <f t="shared" ref="H468:N468" si="264">ROUNDDOWN(H463,H469)</f>
        <v>0</v>
      </c>
      <c r="I468" s="2411">
        <f t="shared" si="264"/>
        <v>0</v>
      </c>
      <c r="J468" s="2411">
        <f t="shared" si="264"/>
        <v>0</v>
      </c>
      <c r="K468" s="2411">
        <f t="shared" si="264"/>
        <v>0</v>
      </c>
      <c r="L468" s="2411">
        <f t="shared" si="264"/>
        <v>0</v>
      </c>
      <c r="M468" s="2411">
        <f t="shared" si="264"/>
        <v>0</v>
      </c>
      <c r="N468" s="2412">
        <f t="shared" si="264"/>
        <v>0</v>
      </c>
    </row>
    <row r="469" spans="1:16" ht="13.5" customHeight="1">
      <c r="A469" s="2413"/>
      <c r="B469" s="2414"/>
      <c r="C469" s="2414"/>
      <c r="D469" s="2415"/>
      <c r="E469" s="2416">
        <f>E467-E468</f>
        <v>0</v>
      </c>
      <c r="F469" s="2416">
        <f>ROUNDDOWN(G463,G469)</f>
        <v>0</v>
      </c>
      <c r="G469" s="2417">
        <f t="shared" ref="G469:N469" si="265">IF(LEN(G463)&lt;=7,-3,IF(LEN(G463)=8,-4,IF(LEN(G463)&gt;=9,-5,-6)))</f>
        <v>-3</v>
      </c>
      <c r="H469" s="2417">
        <f t="shared" si="265"/>
        <v>-3</v>
      </c>
      <c r="I469" s="2417">
        <f t="shared" si="265"/>
        <v>-3</v>
      </c>
      <c r="J469" s="2417">
        <f>IF(LEN(J463)&lt;=7,-3,IF(LEN(J463)=8,-4,IF(LEN(J463)&gt;=9,-5,-6)))</f>
        <v>-3</v>
      </c>
      <c r="K469" s="2417">
        <f>IF(LEN(K463)&lt;=7,-3,IF(LEN(K463)=8,-4,IF(LEN(K463)&gt;=9,-5,-6)))</f>
        <v>-3</v>
      </c>
      <c r="L469" s="2417">
        <f t="shared" si="265"/>
        <v>-3</v>
      </c>
      <c r="M469" s="2417">
        <f t="shared" si="265"/>
        <v>-3</v>
      </c>
      <c r="N469" s="2418">
        <f t="shared" si="265"/>
        <v>-3</v>
      </c>
    </row>
    <row r="470" spans="1:16" ht="13.5" customHeight="1" thickBot="1">
      <c r="A470" s="2419"/>
      <c r="B470" s="2419"/>
      <c r="C470" s="2419"/>
      <c r="D470" s="2419"/>
      <c r="E470" s="2420"/>
      <c r="F470" s="2420"/>
      <c r="G470" s="2421"/>
      <c r="H470" s="2421"/>
      <c r="I470" s="2421"/>
      <c r="J470" s="2421"/>
      <c r="K470" s="2421"/>
      <c r="L470" s="2421"/>
      <c r="M470" s="2421"/>
      <c r="N470" s="2421"/>
    </row>
    <row r="471" spans="1:16" ht="13.5" customHeight="1">
      <c r="A471" s="2422"/>
      <c r="B471" s="2423"/>
      <c r="C471" s="2424" t="s">
        <v>2677</v>
      </c>
      <c r="D471" s="2425"/>
      <c r="E471" s="2423"/>
      <c r="F471" s="2426" t="s">
        <v>2678</v>
      </c>
      <c r="G471" s="2427" t="str">
        <f t="shared" ref="G471:N471" si="266">G300</f>
        <v/>
      </c>
      <c r="H471" s="2427" t="str">
        <f t="shared" si="266"/>
        <v/>
      </c>
      <c r="I471" s="2427" t="str">
        <f t="shared" si="266"/>
        <v/>
      </c>
      <c r="J471" s="2427" t="str">
        <f>J300</f>
        <v/>
      </c>
      <c r="K471" s="2427" t="str">
        <f>K300</f>
        <v/>
      </c>
      <c r="L471" s="2427" t="str">
        <f t="shared" si="266"/>
        <v/>
      </c>
      <c r="M471" s="2427" t="str">
        <f t="shared" si="266"/>
        <v/>
      </c>
      <c r="N471" s="2427" t="str">
        <f t="shared" si="266"/>
        <v/>
      </c>
      <c r="O471" s="2429"/>
      <c r="P471" s="2429"/>
    </row>
    <row r="472" spans="1:16" ht="13.5" customHeight="1">
      <c r="A472" s="3050"/>
      <c r="B472" s="3053" t="s">
        <v>2679</v>
      </c>
      <c r="C472" s="2430" t="s">
        <v>2680</v>
      </c>
      <c r="D472" s="2065"/>
      <c r="E472" s="2431"/>
      <c r="F472" s="2432" t="s">
        <v>2912</v>
      </c>
      <c r="G472" s="2433" t="e">
        <f>IF($F$360&lt;=10000000,ROUND(7.56*(10000^-0.1105)*(G471^0.2389),2),ROUND(7.56*(($F$360/1000)^-0.1105)*(G471^0.2389),2))</f>
        <v>#VALUE!</v>
      </c>
      <c r="H472" s="2433" t="e">
        <f t="shared" ref="H472:N472" si="267">IF($F$360&lt;=10000000,ROUND(7.56*(10000^-0.1105)*(H471^0.2389),2),ROUND(7.56*(($F$360/1000)^-0.1105)*(H471^0.2389),2))</f>
        <v>#VALUE!</v>
      </c>
      <c r="I472" s="2433" t="e">
        <f t="shared" si="267"/>
        <v>#VALUE!</v>
      </c>
      <c r="J472" s="2433" t="e">
        <f>IF($F$360&lt;=10000000,ROUND(7.56*(10000^-0.1105)*(J471^0.2389),2),ROUND(7.56*(($F$360/1000)^-0.1105)*(J471^0.2389),2))</f>
        <v>#VALUE!</v>
      </c>
      <c r="K472" s="2433" t="e">
        <f>IF($F$360&lt;=10000000,ROUND(7.56*(10000^-0.1105)*(K471^0.2389),2),ROUND(7.56*(($F$360/1000)^-0.1105)*(K471^0.2389),2))</f>
        <v>#VALUE!</v>
      </c>
      <c r="L472" s="2433" t="e">
        <f t="shared" si="267"/>
        <v>#VALUE!</v>
      </c>
      <c r="M472" s="2433" t="e">
        <f t="shared" si="267"/>
        <v>#VALUE!</v>
      </c>
      <c r="N472" s="2433" t="e">
        <f t="shared" si="267"/>
        <v>#VALUE!</v>
      </c>
      <c r="O472" s="2435"/>
      <c r="P472" s="2435"/>
    </row>
    <row r="473" spans="1:16" ht="13.5" customHeight="1">
      <c r="A473" s="3051"/>
      <c r="B473" s="3054"/>
      <c r="C473" s="3056" t="s">
        <v>2682</v>
      </c>
      <c r="D473" s="2436"/>
      <c r="E473" s="2437"/>
      <c r="F473" s="2432" t="s">
        <v>2683</v>
      </c>
      <c r="G473" s="2438">
        <f t="shared" ref="G473:N473" si="268">IF($F$147&lt;=10000000,ROUND(4.33,2),0)</f>
        <v>4.33</v>
      </c>
      <c r="H473" s="2438">
        <f t="shared" si="268"/>
        <v>4.33</v>
      </c>
      <c r="I473" s="2438">
        <f t="shared" si="268"/>
        <v>4.33</v>
      </c>
      <c r="J473" s="2438">
        <f t="shared" si="268"/>
        <v>4.33</v>
      </c>
      <c r="K473" s="2438">
        <f t="shared" si="268"/>
        <v>4.33</v>
      </c>
      <c r="L473" s="2438">
        <f t="shared" si="268"/>
        <v>4.33</v>
      </c>
      <c r="M473" s="2438">
        <f t="shared" si="268"/>
        <v>4.33</v>
      </c>
      <c r="N473" s="2438">
        <f t="shared" si="268"/>
        <v>4.33</v>
      </c>
      <c r="O473" s="2440"/>
      <c r="P473" s="2440"/>
    </row>
    <row r="474" spans="1:16" ht="13.5" customHeight="1">
      <c r="A474" s="3051"/>
      <c r="B474" s="3054"/>
      <c r="C474" s="3057"/>
      <c r="D474" s="2441"/>
      <c r="E474" s="2442"/>
      <c r="F474" s="2432" t="s">
        <v>2684</v>
      </c>
      <c r="G474" s="2438">
        <f t="shared" ref="G474:N474" si="269">IF($F$147&lt;=10000000,ROUND(3.25,2),0)</f>
        <v>3.25</v>
      </c>
      <c r="H474" s="2438">
        <f t="shared" si="269"/>
        <v>3.25</v>
      </c>
      <c r="I474" s="2438">
        <f t="shared" si="269"/>
        <v>3.25</v>
      </c>
      <c r="J474" s="2438">
        <f t="shared" si="269"/>
        <v>3.25</v>
      </c>
      <c r="K474" s="2438">
        <f t="shared" si="269"/>
        <v>3.25</v>
      </c>
      <c r="L474" s="2438">
        <f t="shared" si="269"/>
        <v>3.25</v>
      </c>
      <c r="M474" s="2438">
        <f t="shared" si="269"/>
        <v>3.25</v>
      </c>
      <c r="N474" s="2438">
        <f t="shared" si="269"/>
        <v>3.25</v>
      </c>
      <c r="O474" s="2440"/>
      <c r="P474" s="2440"/>
    </row>
    <row r="475" spans="1:16" ht="13.5" customHeight="1">
      <c r="A475" s="3051"/>
      <c r="B475" s="3054"/>
      <c r="C475" s="3056" t="s">
        <v>2685</v>
      </c>
      <c r="D475" s="2436"/>
      <c r="E475" s="2437"/>
      <c r="F475" s="2432" t="s">
        <v>2683</v>
      </c>
      <c r="G475" s="2443">
        <f t="shared" ref="G475:N475" si="270">IF($F$147&gt;10000000,ROUND(5.78*($F$147/1000)^-0.0313,2),0)</f>
        <v>0</v>
      </c>
      <c r="H475" s="2443">
        <f t="shared" si="270"/>
        <v>0</v>
      </c>
      <c r="I475" s="2443">
        <f t="shared" si="270"/>
        <v>0</v>
      </c>
      <c r="J475" s="2443">
        <f t="shared" si="270"/>
        <v>0</v>
      </c>
      <c r="K475" s="2443">
        <f t="shared" si="270"/>
        <v>0</v>
      </c>
      <c r="L475" s="2443">
        <f t="shared" si="270"/>
        <v>0</v>
      </c>
      <c r="M475" s="2443">
        <f t="shared" si="270"/>
        <v>0</v>
      </c>
      <c r="N475" s="2443">
        <f t="shared" si="270"/>
        <v>0</v>
      </c>
      <c r="O475" s="2445"/>
      <c r="P475" s="2445"/>
    </row>
    <row r="476" spans="1:16" ht="13.5" customHeight="1">
      <c r="A476" s="3052"/>
      <c r="B476" s="3055"/>
      <c r="C476" s="3057"/>
      <c r="D476" s="2441"/>
      <c r="E476" s="2442"/>
      <c r="F476" s="2432" t="s">
        <v>2684</v>
      </c>
      <c r="G476" s="2443">
        <f t="shared" ref="G476:N476" si="271">IF($F$147&gt;10000000,ROUND(4.34*($F$147/1000)^-0.0313,2),0)</f>
        <v>0</v>
      </c>
      <c r="H476" s="2443">
        <f t="shared" si="271"/>
        <v>0</v>
      </c>
      <c r="I476" s="2443">
        <f t="shared" si="271"/>
        <v>0</v>
      </c>
      <c r="J476" s="2443">
        <f t="shared" si="271"/>
        <v>0</v>
      </c>
      <c r="K476" s="2443">
        <f t="shared" si="271"/>
        <v>0</v>
      </c>
      <c r="L476" s="2443">
        <f t="shared" si="271"/>
        <v>0</v>
      </c>
      <c r="M476" s="2443">
        <f t="shared" si="271"/>
        <v>0</v>
      </c>
      <c r="N476" s="2443">
        <f t="shared" si="271"/>
        <v>0</v>
      </c>
      <c r="O476" s="2445"/>
      <c r="P476" s="2445"/>
    </row>
    <row r="477" spans="1:16" ht="13.5" customHeight="1">
      <c r="A477" s="3035" t="s">
        <v>2686</v>
      </c>
      <c r="B477" s="3036"/>
      <c r="C477" s="3036"/>
      <c r="D477" s="3036"/>
      <c r="E477" s="3036"/>
      <c r="F477" s="3037"/>
      <c r="G477" s="2446">
        <f t="shared" ref="G477:N477" si="272">IF($F$147&lt;=10000000,IF(G$259&gt;G$260,G$260,IF(G$259&lt;G$261,G$261,G$259)),IF(G$259&gt;G$262,G$262,IF(G$259&lt;G$263,G$263,G$259)))</f>
        <v>3.25</v>
      </c>
      <c r="H477" s="2446">
        <f t="shared" si="272"/>
        <v>3.25</v>
      </c>
      <c r="I477" s="2446">
        <f t="shared" si="272"/>
        <v>3.25</v>
      </c>
      <c r="J477" s="2446">
        <f t="shared" si="272"/>
        <v>3.25</v>
      </c>
      <c r="K477" s="2446">
        <f t="shared" si="272"/>
        <v>3.25</v>
      </c>
      <c r="L477" s="2446">
        <f t="shared" si="272"/>
        <v>3.25</v>
      </c>
      <c r="M477" s="2446">
        <f t="shared" si="272"/>
        <v>3.25</v>
      </c>
      <c r="N477" s="2446">
        <f t="shared" si="272"/>
        <v>3.25</v>
      </c>
      <c r="O477" s="2445"/>
      <c r="P477" s="2445"/>
    </row>
    <row r="478" spans="1:16" ht="13.5" customHeight="1" thickBot="1">
      <c r="A478" s="3038" t="s">
        <v>2687</v>
      </c>
      <c r="B478" s="3039"/>
      <c r="C478" s="3039"/>
      <c r="D478" s="3039"/>
      <c r="E478" s="3039"/>
      <c r="F478" s="3040"/>
      <c r="G478" s="2448">
        <f t="shared" ref="G478:N478" si="273">ROUND(G477*IF(AND(G305="駅施設",G306="無し"),0.7,IF(AND(G305="駅施設",G306="有り"),0.7,IF(AND(G305="地上建物",G306="無し"),0.9,IF(AND(G305="地上建物",G306="有り"),1,0)))),2)</f>
        <v>2.2799999999999998</v>
      </c>
      <c r="H478" s="2448">
        <f t="shared" si="273"/>
        <v>0</v>
      </c>
      <c r="I478" s="2448">
        <f t="shared" si="273"/>
        <v>0</v>
      </c>
      <c r="J478" s="2448">
        <f>ROUND(J477*IF(AND(J305="駅施設",J306="無し"),0.7,IF(AND(J305="駅施設",J306="有り"),0.7,IF(AND(J305="地上建物",J306="無し"),0.9,IF(AND(J305="地上建物",J306="有り"),1,0)))),2)</f>
        <v>0</v>
      </c>
      <c r="K478" s="2448">
        <f>ROUND(K477*IF(AND(K305="駅施設",K306="無し"),0.7,IF(AND(K305="駅施設",K306="有り"),0.7,IF(AND(K305="地上建物",K306="無し"),0.9,IF(AND(K305="地上建物",K306="有り"),1,0)))),2)</f>
        <v>0</v>
      </c>
      <c r="L478" s="2448">
        <f t="shared" si="273"/>
        <v>0</v>
      </c>
      <c r="M478" s="2448">
        <f t="shared" si="273"/>
        <v>0</v>
      </c>
      <c r="N478" s="2448">
        <f t="shared" si="273"/>
        <v>0</v>
      </c>
      <c r="O478" s="2445"/>
      <c r="P478" s="2445"/>
    </row>
    <row r="479" spans="1:16" ht="13.5" customHeight="1" thickBot="1">
      <c r="A479" s="2450"/>
      <c r="B479" s="2451"/>
      <c r="C479" s="2451"/>
      <c r="D479" s="2451"/>
      <c r="E479" s="2451"/>
      <c r="F479" s="2451"/>
      <c r="G479" s="2452"/>
      <c r="H479" s="2452"/>
      <c r="I479" s="2452"/>
      <c r="J479" s="2452"/>
      <c r="K479" s="2452"/>
      <c r="L479" s="2452"/>
      <c r="M479" s="2452"/>
      <c r="N479" s="2452"/>
      <c r="O479" s="2445"/>
      <c r="P479" s="2445"/>
    </row>
    <row r="480" spans="1:16" ht="13.5" customHeight="1">
      <c r="A480" s="2453"/>
      <c r="B480" s="2454"/>
      <c r="C480" s="2455" t="s">
        <v>2677</v>
      </c>
      <c r="D480" s="2456"/>
      <c r="E480" s="2454"/>
      <c r="F480" s="2457" t="s">
        <v>2678</v>
      </c>
      <c r="G480" s="2427" t="str">
        <f t="shared" ref="G480:N480" si="274">G300</f>
        <v/>
      </c>
      <c r="H480" s="2427" t="str">
        <f t="shared" si="274"/>
        <v/>
      </c>
      <c r="I480" s="2427" t="str">
        <f t="shared" si="274"/>
        <v/>
      </c>
      <c r="J480" s="2427" t="str">
        <f>J300</f>
        <v/>
      </c>
      <c r="K480" s="2427" t="str">
        <f>K300</f>
        <v/>
      </c>
      <c r="L480" s="2427" t="str">
        <f t="shared" si="274"/>
        <v/>
      </c>
      <c r="M480" s="2427" t="str">
        <f t="shared" si="274"/>
        <v/>
      </c>
      <c r="N480" s="2427" t="str">
        <f t="shared" si="274"/>
        <v/>
      </c>
      <c r="O480" s="2429"/>
      <c r="P480" s="2429"/>
    </row>
    <row r="481" spans="1:16" ht="13.5" customHeight="1">
      <c r="A481" s="3041"/>
      <c r="B481" s="3044" t="s">
        <v>2688</v>
      </c>
      <c r="C481" s="2458" t="s">
        <v>2680</v>
      </c>
      <c r="D481" s="2033"/>
      <c r="E481" s="2459"/>
      <c r="F481" s="1981" t="s">
        <v>2689</v>
      </c>
      <c r="G481" s="2433" t="e">
        <f>IF($F$360&lt;=5000000,ROUND(18.03*(5000^-0.2027)*(G480^0.4017),2),ROUND(18.03*(($F$360/1000)^-0.2027)*(G480^0.4017),2))</f>
        <v>#VALUE!</v>
      </c>
      <c r="H481" s="2433" t="e">
        <f t="shared" ref="H481:N481" si="275">IF($F$360&lt;=5000000,ROUND(18.03*(5000^-0.2027)*(H480^0.4017),2),ROUND(18.03*(($F$360/1000)^-0.2027)*(H480^0.4017),2))</f>
        <v>#VALUE!</v>
      </c>
      <c r="I481" s="2433" t="e">
        <f t="shared" si="275"/>
        <v>#VALUE!</v>
      </c>
      <c r="J481" s="2433" t="e">
        <f>IF($F$360&lt;=5000000,ROUND(18.03*(5000^-0.2027)*(J480^0.4017),2),ROUND(18.03*(($F$360/1000)^-0.2027)*(J480^0.4017),2))</f>
        <v>#VALUE!</v>
      </c>
      <c r="K481" s="2433" t="e">
        <f>IF($F$360&lt;=5000000,ROUND(18.03*(5000^-0.2027)*(K480^0.4017),2),ROUND(18.03*(($F$360/1000)^-0.2027)*(K480^0.4017),2))</f>
        <v>#VALUE!</v>
      </c>
      <c r="L481" s="2433" t="e">
        <f t="shared" si="275"/>
        <v>#VALUE!</v>
      </c>
      <c r="M481" s="2433" t="e">
        <f t="shared" si="275"/>
        <v>#VALUE!</v>
      </c>
      <c r="N481" s="2433" t="e">
        <f t="shared" si="275"/>
        <v>#VALUE!</v>
      </c>
      <c r="O481" s="2435"/>
      <c r="P481" s="2435"/>
    </row>
    <row r="482" spans="1:16" ht="13.5" customHeight="1">
      <c r="A482" s="3042"/>
      <c r="B482" s="3045"/>
      <c r="C482" s="3047" t="s">
        <v>2690</v>
      </c>
      <c r="D482" s="2042"/>
      <c r="E482" s="2460"/>
      <c r="F482" s="1981" t="s">
        <v>2683</v>
      </c>
      <c r="G482" s="2461">
        <f>IF($F$360&lt;=5000000,ROUND(6.07,2),0)</f>
        <v>6.07</v>
      </c>
      <c r="H482" s="2461">
        <f t="shared" ref="H482:N482" si="276">IF($F$360&lt;=5000000,ROUND(6.07,2),0)</f>
        <v>6.07</v>
      </c>
      <c r="I482" s="2461">
        <f t="shared" si="276"/>
        <v>6.07</v>
      </c>
      <c r="J482" s="2461">
        <f t="shared" si="276"/>
        <v>6.07</v>
      </c>
      <c r="K482" s="2461">
        <f t="shared" si="276"/>
        <v>6.07</v>
      </c>
      <c r="L482" s="2461">
        <f t="shared" si="276"/>
        <v>6.07</v>
      </c>
      <c r="M482" s="2461">
        <f t="shared" si="276"/>
        <v>6.07</v>
      </c>
      <c r="N482" s="2461">
        <f t="shared" si="276"/>
        <v>6.07</v>
      </c>
      <c r="O482" s="2440"/>
      <c r="P482" s="2440"/>
    </row>
    <row r="483" spans="1:16" ht="13.5" customHeight="1">
      <c r="A483" s="3042"/>
      <c r="B483" s="3045"/>
      <c r="C483" s="3048"/>
      <c r="D483" s="2463"/>
      <c r="E483" s="2464"/>
      <c r="F483" s="1981" t="s">
        <v>2684</v>
      </c>
      <c r="G483" s="2461">
        <f>IF($F$360&lt;=5000000,ROUND(3.59,2),0)</f>
        <v>3.59</v>
      </c>
      <c r="H483" s="2461">
        <f t="shared" ref="H483:N483" si="277">IF($F$360&lt;=5000000,ROUND(3.59,2),0)</f>
        <v>3.59</v>
      </c>
      <c r="I483" s="2461">
        <f t="shared" si="277"/>
        <v>3.59</v>
      </c>
      <c r="J483" s="2461">
        <f t="shared" si="277"/>
        <v>3.59</v>
      </c>
      <c r="K483" s="2461">
        <f t="shared" si="277"/>
        <v>3.59</v>
      </c>
      <c r="L483" s="2461">
        <f t="shared" si="277"/>
        <v>3.59</v>
      </c>
      <c r="M483" s="2461">
        <f t="shared" si="277"/>
        <v>3.59</v>
      </c>
      <c r="N483" s="2461">
        <f t="shared" si="277"/>
        <v>3.59</v>
      </c>
      <c r="O483" s="2440"/>
      <c r="P483" s="2440"/>
    </row>
    <row r="484" spans="1:16" ht="13.5" customHeight="1">
      <c r="A484" s="3042"/>
      <c r="B484" s="3045"/>
      <c r="C484" s="3047" t="s">
        <v>2691</v>
      </c>
      <c r="D484" s="2042"/>
      <c r="E484" s="2460"/>
      <c r="F484" s="1981" t="s">
        <v>2683</v>
      </c>
      <c r="G484" s="2465">
        <f>IF($F$360&gt;5000000,ROUND(11.74*($F$360/1000)^-0.0774,2),0)</f>
        <v>0</v>
      </c>
      <c r="H484" s="2465">
        <f t="shared" ref="H484:N484" si="278">IF($F$360&gt;5000000,ROUND(11.74*($F$360/1000)^-0.0774,2),0)</f>
        <v>0</v>
      </c>
      <c r="I484" s="2465">
        <f t="shared" si="278"/>
        <v>0</v>
      </c>
      <c r="J484" s="2465">
        <f t="shared" si="278"/>
        <v>0</v>
      </c>
      <c r="K484" s="2465">
        <f t="shared" si="278"/>
        <v>0</v>
      </c>
      <c r="L484" s="2465">
        <f t="shared" si="278"/>
        <v>0</v>
      </c>
      <c r="M484" s="2465">
        <f t="shared" si="278"/>
        <v>0</v>
      </c>
      <c r="N484" s="2465">
        <f t="shared" si="278"/>
        <v>0</v>
      </c>
      <c r="O484" s="2445"/>
      <c r="P484" s="2445"/>
    </row>
    <row r="485" spans="1:16" ht="13.5" customHeight="1">
      <c r="A485" s="3043"/>
      <c r="B485" s="3046"/>
      <c r="C485" s="3048"/>
      <c r="D485" s="2463"/>
      <c r="E485" s="2464"/>
      <c r="F485" s="1981" t="s">
        <v>2684</v>
      </c>
      <c r="G485" s="2465">
        <f>IF($F$360&gt;5000000,ROUND(6.94*($F$360/1000)^-0.0774,2),0)</f>
        <v>0</v>
      </c>
      <c r="H485" s="2465">
        <f t="shared" ref="H485:N485" si="279">IF($F$360&gt;5000000,ROUND(6.94*($F$360/1000)^-0.0774,2),0)</f>
        <v>0</v>
      </c>
      <c r="I485" s="2465">
        <f t="shared" si="279"/>
        <v>0</v>
      </c>
      <c r="J485" s="2465">
        <f t="shared" si="279"/>
        <v>0</v>
      </c>
      <c r="K485" s="2465">
        <f t="shared" si="279"/>
        <v>0</v>
      </c>
      <c r="L485" s="2465">
        <f t="shared" si="279"/>
        <v>0</v>
      </c>
      <c r="M485" s="2465">
        <f t="shared" si="279"/>
        <v>0</v>
      </c>
      <c r="N485" s="2465">
        <f t="shared" si="279"/>
        <v>0</v>
      </c>
      <c r="O485" s="2445"/>
      <c r="P485" s="2445"/>
    </row>
    <row r="486" spans="1:16" ht="13.5" customHeight="1">
      <c r="A486" s="3035" t="s">
        <v>2686</v>
      </c>
      <c r="B486" s="3036"/>
      <c r="C486" s="3036"/>
      <c r="D486" s="3036"/>
      <c r="E486" s="3036"/>
      <c r="F486" s="3037"/>
      <c r="G486" s="2467">
        <f t="shared" ref="G486:N486" si="280">IF($F$147&lt;=5000000,IF(G$268&gt;G$269,G$269,IF(G$268&lt;G$270,G$270,G$268)),IF(G$268&gt;G$271,G$271,IF(G$268&lt;G$272,G$272,G$268)))</f>
        <v>3.59</v>
      </c>
      <c r="H486" s="2467">
        <f t="shared" si="280"/>
        <v>3.59</v>
      </c>
      <c r="I486" s="2467">
        <f t="shared" si="280"/>
        <v>3.59</v>
      </c>
      <c r="J486" s="2467">
        <f t="shared" si="280"/>
        <v>3.59</v>
      </c>
      <c r="K486" s="2467">
        <f t="shared" si="280"/>
        <v>3.59</v>
      </c>
      <c r="L486" s="2467">
        <f t="shared" si="280"/>
        <v>3.59</v>
      </c>
      <c r="M486" s="2467">
        <f t="shared" si="280"/>
        <v>3.59</v>
      </c>
      <c r="N486" s="2467">
        <f t="shared" si="280"/>
        <v>3.59</v>
      </c>
      <c r="O486" s="2469"/>
      <c r="P486" s="2469"/>
    </row>
    <row r="487" spans="1:16" ht="13.5" customHeight="1" thickBot="1">
      <c r="A487" s="3038" t="s">
        <v>2687</v>
      </c>
      <c r="B487" s="3039"/>
      <c r="C487" s="3039"/>
      <c r="D487" s="3039"/>
      <c r="E487" s="3039"/>
      <c r="F487" s="3040"/>
      <c r="G487" s="2448">
        <f t="shared" ref="G487:N487" si="281">ROUND(G486*IF(AND(G305="駅施設",G306="無し"),0.7,IF(AND(G305="駅施設",G306="有り"),0.7,IF(AND(G305="地上建物",G306="無し"),0.9,IF(AND(G305="地上建物",G306="有り"),1,0)))),2)</f>
        <v>2.5099999999999998</v>
      </c>
      <c r="H487" s="2448">
        <f t="shared" si="281"/>
        <v>0</v>
      </c>
      <c r="I487" s="2448">
        <f t="shared" si="281"/>
        <v>0</v>
      </c>
      <c r="J487" s="2448">
        <f>ROUND(J486*IF(AND(J305="駅施設",J306="無し"),0.7,IF(AND(J305="駅施設",J306="有り"),0.7,IF(AND(J305="地上建物",J306="無し"),0.9,IF(AND(J305="地上建物",J306="有り"),1,0)))),2)</f>
        <v>0</v>
      </c>
      <c r="K487" s="2448">
        <f>ROUND(K486*IF(AND(K305="駅施設",K306="無し"),0.7,IF(AND(K305="駅施設",K306="有り"),0.7,IF(AND(K305="地上建物",K306="無し"),0.9,IF(AND(K305="地上建物",K306="有り"),1,0)))),2)</f>
        <v>0</v>
      </c>
      <c r="L487" s="2448">
        <f t="shared" si="281"/>
        <v>0</v>
      </c>
      <c r="M487" s="2448">
        <f t="shared" si="281"/>
        <v>0</v>
      </c>
      <c r="N487" s="2448">
        <f t="shared" si="281"/>
        <v>0</v>
      </c>
      <c r="O487" s="2445"/>
      <c r="P487" s="2445"/>
    </row>
    <row r="488" spans="1:16" ht="13.5" customHeight="1" thickBot="1">
      <c r="A488" s="1762"/>
      <c r="B488" s="1762"/>
      <c r="C488" s="1762"/>
      <c r="D488" s="1762"/>
      <c r="E488" s="2470"/>
      <c r="F488" s="2470"/>
      <c r="G488" s="2471"/>
      <c r="H488" s="2471"/>
      <c r="I488" s="2471"/>
      <c r="J488" s="2471"/>
      <c r="K488" s="2471"/>
      <c r="L488" s="2471"/>
      <c r="M488" s="2471"/>
      <c r="N488" s="2471"/>
    </row>
    <row r="489" spans="1:16" ht="13.5" customHeight="1">
      <c r="A489" s="2453"/>
      <c r="B489" s="2454"/>
      <c r="C489" s="2455" t="s">
        <v>2692</v>
      </c>
      <c r="D489" s="2456"/>
      <c r="E489" s="2454"/>
      <c r="F489" s="2457" t="s">
        <v>2678</v>
      </c>
      <c r="G489" s="2472" t="str">
        <f t="shared" ref="G489:N489" si="282">+G497</f>
        <v/>
      </c>
      <c r="H489" s="2472" t="str">
        <f t="shared" si="282"/>
        <v/>
      </c>
      <c r="I489" s="2472" t="str">
        <f t="shared" si="282"/>
        <v/>
      </c>
      <c r="J489" s="2472" t="str">
        <f>+J497</f>
        <v/>
      </c>
      <c r="K489" s="2472" t="str">
        <f>+K497</f>
        <v/>
      </c>
      <c r="L489" s="2472" t="str">
        <f t="shared" si="282"/>
        <v/>
      </c>
      <c r="M489" s="2472" t="str">
        <f t="shared" si="282"/>
        <v/>
      </c>
      <c r="N489" s="2472" t="str">
        <f t="shared" si="282"/>
        <v/>
      </c>
    </row>
    <row r="490" spans="1:16" ht="13.5" customHeight="1">
      <c r="A490" s="3041"/>
      <c r="B490" s="3044" t="s">
        <v>2679</v>
      </c>
      <c r="C490" s="2458" t="s">
        <v>2693</v>
      </c>
      <c r="D490" s="2033"/>
      <c r="E490" s="2459"/>
      <c r="F490" s="1981" t="s">
        <v>2805</v>
      </c>
      <c r="G490" s="2433" t="e">
        <f>IF($F391&lt;=10000000,ROUND(151.08*((10000)^-0.3396)*(G489^0.586),2),ROUND(151.08*(($F391/1000)^-0.3396)*(G489^0.586),2))</f>
        <v>#VALUE!</v>
      </c>
      <c r="H490" s="2433" t="e">
        <f t="shared" ref="H490:N490" si="283">IF($F391&lt;=10000000,ROUND(151.08*((10000)^-0.3396)*(H489^0.586),2),ROUND(151.08*(($F391/1000)^-0.3396)*(H489^0.586),2))</f>
        <v>#VALUE!</v>
      </c>
      <c r="I490" s="2433" t="e">
        <f t="shared" si="283"/>
        <v>#VALUE!</v>
      </c>
      <c r="J490" s="2433" t="e">
        <f t="shared" si="283"/>
        <v>#VALUE!</v>
      </c>
      <c r="K490" s="2433" t="e">
        <f t="shared" si="283"/>
        <v>#VALUE!</v>
      </c>
      <c r="L490" s="2433" t="e">
        <f t="shared" si="283"/>
        <v>#VALUE!</v>
      </c>
      <c r="M490" s="2433" t="e">
        <f t="shared" si="283"/>
        <v>#VALUE!</v>
      </c>
      <c r="N490" s="2433" t="e">
        <f t="shared" si="283"/>
        <v>#VALUE!</v>
      </c>
    </row>
    <row r="491" spans="1:16" ht="13.5" customHeight="1">
      <c r="A491" s="3042"/>
      <c r="B491" s="3045"/>
      <c r="C491" s="3047" t="s">
        <v>2695</v>
      </c>
      <c r="D491" s="2042"/>
      <c r="E491" s="2460"/>
      <c r="F491" s="1981" t="s">
        <v>2683</v>
      </c>
      <c r="G491" s="2474">
        <f>IF($F391&lt;=10000000,ROUND(20.13,2),0)</f>
        <v>20.13</v>
      </c>
      <c r="H491" s="2474">
        <f t="shared" ref="H491:N491" si="284">IF($F391&lt;=10000000,ROUND(20.13,2),0)</f>
        <v>20.13</v>
      </c>
      <c r="I491" s="2474">
        <f t="shared" si="284"/>
        <v>20.13</v>
      </c>
      <c r="J491" s="2474">
        <f t="shared" si="284"/>
        <v>20.13</v>
      </c>
      <c r="K491" s="2474">
        <f t="shared" si="284"/>
        <v>20.13</v>
      </c>
      <c r="L491" s="2474">
        <f t="shared" si="284"/>
        <v>20.13</v>
      </c>
      <c r="M491" s="2474">
        <f t="shared" si="284"/>
        <v>20.13</v>
      </c>
      <c r="N491" s="2474">
        <f t="shared" si="284"/>
        <v>20.13</v>
      </c>
    </row>
    <row r="492" spans="1:16" ht="13.5" customHeight="1">
      <c r="A492" s="3042"/>
      <c r="B492" s="3045"/>
      <c r="C492" s="3048"/>
      <c r="D492" s="2463"/>
      <c r="E492" s="2464"/>
      <c r="F492" s="1981" t="s">
        <v>2684</v>
      </c>
      <c r="G492" s="2474">
        <f>IF($F391&lt;=10000000,ROUND(10.01,2),0)</f>
        <v>10.01</v>
      </c>
      <c r="H492" s="2474">
        <f t="shared" ref="H492:N492" si="285">IF($F391&lt;=10000000,ROUND(10.01,2),0)</f>
        <v>10.01</v>
      </c>
      <c r="I492" s="2474">
        <f t="shared" si="285"/>
        <v>10.01</v>
      </c>
      <c r="J492" s="2474">
        <f t="shared" si="285"/>
        <v>10.01</v>
      </c>
      <c r="K492" s="2474">
        <f t="shared" si="285"/>
        <v>10.01</v>
      </c>
      <c r="L492" s="2474">
        <f t="shared" si="285"/>
        <v>10.01</v>
      </c>
      <c r="M492" s="2474">
        <f t="shared" si="285"/>
        <v>10.01</v>
      </c>
      <c r="N492" s="2474">
        <f t="shared" si="285"/>
        <v>10.01</v>
      </c>
    </row>
    <row r="493" spans="1:16" ht="13.5" customHeight="1">
      <c r="A493" s="3042"/>
      <c r="B493" s="3045"/>
      <c r="C493" s="3047" t="s">
        <v>2696</v>
      </c>
      <c r="D493" s="2042"/>
      <c r="E493" s="2460"/>
      <c r="F493" s="1981" t="s">
        <v>2683</v>
      </c>
      <c r="G493" s="2476">
        <f>IF($F391&gt;10000000,ROUND(75.97*($F391/1000)^-0.1442,2),0)</f>
        <v>0</v>
      </c>
      <c r="H493" s="2476">
        <f t="shared" ref="H493:N493" si="286">IF($F391&gt;10000000,ROUND(75.97*($F391/1000)^-0.1442,2),0)</f>
        <v>0</v>
      </c>
      <c r="I493" s="2476">
        <f t="shared" si="286"/>
        <v>0</v>
      </c>
      <c r="J493" s="2476">
        <f t="shared" si="286"/>
        <v>0</v>
      </c>
      <c r="K493" s="2476">
        <f t="shared" si="286"/>
        <v>0</v>
      </c>
      <c r="L493" s="2476">
        <f t="shared" si="286"/>
        <v>0</v>
      </c>
      <c r="M493" s="2476">
        <f t="shared" si="286"/>
        <v>0</v>
      </c>
      <c r="N493" s="2476">
        <f t="shared" si="286"/>
        <v>0</v>
      </c>
    </row>
    <row r="494" spans="1:16" ht="13.5" customHeight="1">
      <c r="A494" s="3043"/>
      <c r="B494" s="3046"/>
      <c r="C494" s="3048"/>
      <c r="D494" s="2463"/>
      <c r="E494" s="2464"/>
      <c r="F494" s="1981" t="s">
        <v>2684</v>
      </c>
      <c r="G494" s="2476">
        <f>IF($F391&gt;10000000,ROUND(37.76*($F391/1000)^-0.1442,2),0)</f>
        <v>0</v>
      </c>
      <c r="H494" s="2476">
        <f t="shared" ref="H494:N494" si="287">IF($F391&gt;10000000,ROUND(37.76*($F391/1000)^-0.1442,2),0)</f>
        <v>0</v>
      </c>
      <c r="I494" s="2476">
        <f t="shared" si="287"/>
        <v>0</v>
      </c>
      <c r="J494" s="2476">
        <f t="shared" si="287"/>
        <v>0</v>
      </c>
      <c r="K494" s="2476">
        <f t="shared" si="287"/>
        <v>0</v>
      </c>
      <c r="L494" s="2476">
        <f t="shared" si="287"/>
        <v>0</v>
      </c>
      <c r="M494" s="2476">
        <f t="shared" si="287"/>
        <v>0</v>
      </c>
      <c r="N494" s="2476">
        <f t="shared" si="287"/>
        <v>0</v>
      </c>
    </row>
    <row r="495" spans="1:16" ht="13.5" customHeight="1" thickBot="1">
      <c r="A495" s="3058" t="s">
        <v>2697</v>
      </c>
      <c r="B495" s="3059"/>
      <c r="C495" s="3059"/>
      <c r="D495" s="3060"/>
      <c r="E495" s="2478"/>
      <c r="F495" s="2479"/>
      <c r="G495" s="2480" t="e">
        <f>IF($F391&lt;=10000000,IF(G490&gt;G491,G491,IF(G490&lt;G492,G492,G490)),IF(G490&gt;G493,G493,IF(G490&lt;G494,G494,G490)))</f>
        <v>#VALUE!</v>
      </c>
      <c r="H495" s="2480" t="e">
        <f t="shared" ref="H495:N495" si="288">IF($F391&lt;=10000000,IF(H490&gt;H491,H491,IF(H490&lt;H492,H492,H490)),IF(H490&gt;H493,H493,IF(H490&lt;H494,H494,H490)))</f>
        <v>#VALUE!</v>
      </c>
      <c r="I495" s="2480" t="e">
        <f t="shared" si="288"/>
        <v>#VALUE!</v>
      </c>
      <c r="J495" s="2480" t="e">
        <f t="shared" si="288"/>
        <v>#VALUE!</v>
      </c>
      <c r="K495" s="2480" t="e">
        <f t="shared" si="288"/>
        <v>#VALUE!</v>
      </c>
      <c r="L495" s="2480" t="e">
        <f t="shared" si="288"/>
        <v>#VALUE!</v>
      </c>
      <c r="M495" s="2480" t="e">
        <f t="shared" si="288"/>
        <v>#VALUE!</v>
      </c>
      <c r="N495" s="2480" t="e">
        <f t="shared" si="288"/>
        <v>#VALUE!</v>
      </c>
    </row>
    <row r="496" spans="1:16" ht="13.5" customHeight="1" thickBot="1">
      <c r="A496" s="1762"/>
      <c r="B496" s="1762"/>
      <c r="C496" s="1762"/>
      <c r="D496" s="1762"/>
      <c r="E496" s="1762"/>
      <c r="F496" s="1762"/>
      <c r="G496" s="2482"/>
      <c r="H496" s="2482"/>
      <c r="I496" s="2482"/>
      <c r="J496" s="2482"/>
      <c r="K496" s="2482"/>
      <c r="L496" s="2482"/>
      <c r="M496" s="2482"/>
      <c r="N496" s="2482"/>
    </row>
    <row r="497" spans="1:14" ht="13.5" customHeight="1">
      <c r="A497" s="2453"/>
      <c r="B497" s="2454"/>
      <c r="C497" s="2455" t="s">
        <v>2692</v>
      </c>
      <c r="D497" s="2456"/>
      <c r="E497" s="2454"/>
      <c r="F497" s="2457" t="s">
        <v>2678</v>
      </c>
      <c r="G497" s="2472" t="str">
        <f t="shared" ref="G497:N497" si="289">+G300</f>
        <v/>
      </c>
      <c r="H497" s="2472" t="str">
        <f t="shared" si="289"/>
        <v/>
      </c>
      <c r="I497" s="2472" t="str">
        <f t="shared" si="289"/>
        <v/>
      </c>
      <c r="J497" s="2472" t="str">
        <f>+J300</f>
        <v/>
      </c>
      <c r="K497" s="2472" t="str">
        <f>+K300</f>
        <v/>
      </c>
      <c r="L497" s="2472" t="str">
        <f t="shared" si="289"/>
        <v/>
      </c>
      <c r="M497" s="2472" t="str">
        <f t="shared" si="289"/>
        <v/>
      </c>
      <c r="N497" s="2472" t="str">
        <f t="shared" si="289"/>
        <v/>
      </c>
    </row>
    <row r="498" spans="1:14" ht="13.5" customHeight="1">
      <c r="A498" s="3041"/>
      <c r="B498" s="3044" t="s">
        <v>2688</v>
      </c>
      <c r="C498" s="2458" t="s">
        <v>2693</v>
      </c>
      <c r="D498" s="2033"/>
      <c r="E498" s="2459"/>
      <c r="F498" s="1981" t="s">
        <v>2805</v>
      </c>
      <c r="G498" s="2433" t="e">
        <f>IF($F391&lt;=5000000,ROUND(356.2*((5000)^-0.4085)*(G497^0.5766),2),ROUND(356.2*(($F391/1000)^-0.4085)*(G497^0.5766),2))</f>
        <v>#VALUE!</v>
      </c>
      <c r="H498" s="2433" t="e">
        <f t="shared" ref="H498:N498" si="290">IF($F391&lt;=5000000,ROUND(356.2*((5000)^-0.4085)*(H497^0.5766),2),ROUND(356.2*(($F391/1000)^-0.4085)*(H497^0.5766),2))</f>
        <v>#VALUE!</v>
      </c>
      <c r="I498" s="2433" t="e">
        <f t="shared" si="290"/>
        <v>#VALUE!</v>
      </c>
      <c r="J498" s="2433" t="e">
        <f t="shared" si="290"/>
        <v>#VALUE!</v>
      </c>
      <c r="K498" s="2433" t="e">
        <f t="shared" si="290"/>
        <v>#VALUE!</v>
      </c>
      <c r="L498" s="2433" t="e">
        <f t="shared" si="290"/>
        <v>#VALUE!</v>
      </c>
      <c r="M498" s="2433" t="e">
        <f t="shared" si="290"/>
        <v>#VALUE!</v>
      </c>
      <c r="N498" s="2433" t="e">
        <f t="shared" si="290"/>
        <v>#VALUE!</v>
      </c>
    </row>
    <row r="499" spans="1:14" ht="13.5" customHeight="1">
      <c r="A499" s="3042"/>
      <c r="B499" s="3045"/>
      <c r="C499" s="3047" t="s">
        <v>2698</v>
      </c>
      <c r="D499" s="2042"/>
      <c r="E499" s="2460"/>
      <c r="F499" s="1981" t="s">
        <v>2683</v>
      </c>
      <c r="G499" s="2474">
        <f>IF($F391&lt;=5000000,ROUND(26.86,2),0)</f>
        <v>26.86</v>
      </c>
      <c r="H499" s="2474">
        <f t="shared" ref="H499:N499" si="291">IF($F391&lt;=5000000,ROUND(26.86,2),0)</f>
        <v>26.86</v>
      </c>
      <c r="I499" s="2474">
        <f t="shared" si="291"/>
        <v>26.86</v>
      </c>
      <c r="J499" s="2474">
        <f t="shared" si="291"/>
        <v>26.86</v>
      </c>
      <c r="K499" s="2474">
        <f t="shared" si="291"/>
        <v>26.86</v>
      </c>
      <c r="L499" s="2474">
        <f t="shared" si="291"/>
        <v>26.86</v>
      </c>
      <c r="M499" s="2474">
        <f t="shared" si="291"/>
        <v>26.86</v>
      </c>
      <c r="N499" s="2474">
        <f t="shared" si="291"/>
        <v>26.86</v>
      </c>
    </row>
    <row r="500" spans="1:14" ht="13.5" customHeight="1">
      <c r="A500" s="3042"/>
      <c r="B500" s="3045"/>
      <c r="C500" s="3048"/>
      <c r="D500" s="2463"/>
      <c r="E500" s="2464"/>
      <c r="F500" s="1981" t="s">
        <v>2684</v>
      </c>
      <c r="G500" s="2474">
        <f>IF($F391&lt;=5000000,ROUND(12.7,2),0)</f>
        <v>12.7</v>
      </c>
      <c r="H500" s="2474">
        <f t="shared" ref="H500:N500" si="292">IF($F391&lt;=5000000,ROUND(12.7,2),0)</f>
        <v>12.7</v>
      </c>
      <c r="I500" s="2474">
        <f t="shared" si="292"/>
        <v>12.7</v>
      </c>
      <c r="J500" s="2474">
        <f t="shared" si="292"/>
        <v>12.7</v>
      </c>
      <c r="K500" s="2474">
        <f t="shared" si="292"/>
        <v>12.7</v>
      </c>
      <c r="L500" s="2474">
        <f t="shared" si="292"/>
        <v>12.7</v>
      </c>
      <c r="M500" s="2474">
        <f t="shared" si="292"/>
        <v>12.7</v>
      </c>
      <c r="N500" s="2474">
        <f t="shared" si="292"/>
        <v>12.7</v>
      </c>
    </row>
    <row r="501" spans="1:14" ht="13.5" customHeight="1">
      <c r="A501" s="3042"/>
      <c r="B501" s="3045"/>
      <c r="C501" s="3047" t="s">
        <v>2699</v>
      </c>
      <c r="D501" s="2042"/>
      <c r="E501" s="2460"/>
      <c r="F501" s="1981" t="s">
        <v>2683</v>
      </c>
      <c r="G501" s="2476">
        <f>IF($F391&gt;5000000,ROUND(184.58*($F391/1000)^-0.2263,2),0)</f>
        <v>0</v>
      </c>
      <c r="H501" s="2476">
        <f t="shared" ref="H501:N501" si="293">IF($F391&gt;5000000,ROUND(184.58*($F391/1000)^-0.2263,2),0)</f>
        <v>0</v>
      </c>
      <c r="I501" s="2476">
        <f t="shared" si="293"/>
        <v>0</v>
      </c>
      <c r="J501" s="2476">
        <f t="shared" si="293"/>
        <v>0</v>
      </c>
      <c r="K501" s="2476">
        <f t="shared" si="293"/>
        <v>0</v>
      </c>
      <c r="L501" s="2476">
        <f t="shared" si="293"/>
        <v>0</v>
      </c>
      <c r="M501" s="2476">
        <f t="shared" si="293"/>
        <v>0</v>
      </c>
      <c r="N501" s="2476">
        <f t="shared" si="293"/>
        <v>0</v>
      </c>
    </row>
    <row r="502" spans="1:14" ht="13.5" customHeight="1">
      <c r="A502" s="3043"/>
      <c r="B502" s="3046"/>
      <c r="C502" s="3048"/>
      <c r="D502" s="2463"/>
      <c r="E502" s="2464"/>
      <c r="F502" s="1981" t="s">
        <v>2684</v>
      </c>
      <c r="G502" s="2476">
        <f>IF($F391&gt;5000000,ROUND(87.29*($F391/1000)^-0.2263,2),0)</f>
        <v>0</v>
      </c>
      <c r="H502" s="2476">
        <f t="shared" ref="H502:N502" si="294">IF($F391&gt;5000000,ROUND(87.29*($F391/1000)^-0.2263,2),0)</f>
        <v>0</v>
      </c>
      <c r="I502" s="2476">
        <f t="shared" si="294"/>
        <v>0</v>
      </c>
      <c r="J502" s="2476">
        <f t="shared" si="294"/>
        <v>0</v>
      </c>
      <c r="K502" s="2476">
        <f t="shared" si="294"/>
        <v>0</v>
      </c>
      <c r="L502" s="2476">
        <f t="shared" si="294"/>
        <v>0</v>
      </c>
      <c r="M502" s="2476">
        <f t="shared" si="294"/>
        <v>0</v>
      </c>
      <c r="N502" s="2476">
        <f t="shared" si="294"/>
        <v>0</v>
      </c>
    </row>
    <row r="503" spans="1:14" ht="13.5" customHeight="1" thickBot="1">
      <c r="A503" s="3058" t="s">
        <v>2697</v>
      </c>
      <c r="B503" s="3059"/>
      <c r="C503" s="3059"/>
      <c r="D503" s="3059"/>
      <c r="E503" s="2483"/>
      <c r="F503" s="2479"/>
      <c r="G503" s="2484" t="e">
        <f>IF($F391&lt;=5000000,IF(G498&gt;G499,G499,IF(G498&lt;G500,G500,G498)),IF(G498&gt;G501,G501,IF(G498&lt;G502,G502,G498)))</f>
        <v>#VALUE!</v>
      </c>
      <c r="H503" s="2484" t="e">
        <f t="shared" ref="H503:N503" si="295">IF($F391&lt;=5000000,IF(H498&gt;H499,H499,IF(H498&lt;H500,H500,H498)),IF(H498&gt;H501,H501,IF(H498&lt;H502,H502,H498)))</f>
        <v>#VALUE!</v>
      </c>
      <c r="I503" s="2484" t="e">
        <f t="shared" si="295"/>
        <v>#VALUE!</v>
      </c>
      <c r="J503" s="2484" t="e">
        <f t="shared" si="295"/>
        <v>#VALUE!</v>
      </c>
      <c r="K503" s="2484" t="e">
        <f t="shared" si="295"/>
        <v>#VALUE!</v>
      </c>
      <c r="L503" s="2484" t="e">
        <f t="shared" si="295"/>
        <v>#VALUE!</v>
      </c>
      <c r="M503" s="2484" t="e">
        <f t="shared" si="295"/>
        <v>#VALUE!</v>
      </c>
      <c r="N503" s="2484" t="e">
        <f t="shared" si="295"/>
        <v>#VALUE!</v>
      </c>
    </row>
    <row r="504" spans="1:14" ht="13.5" customHeight="1" thickBot="1">
      <c r="A504" s="1762"/>
      <c r="B504" s="1762"/>
      <c r="C504" s="1762"/>
      <c r="D504" s="1762"/>
      <c r="E504" s="1762"/>
      <c r="F504" s="1762"/>
      <c r="G504" s="2486"/>
      <c r="H504" s="2486"/>
      <c r="I504" s="2486"/>
      <c r="J504" s="2486"/>
      <c r="K504" s="2486"/>
      <c r="L504" s="2486"/>
      <c r="M504" s="2486"/>
      <c r="N504" s="2486"/>
    </row>
    <row r="505" spans="1:14" ht="13.5" customHeight="1">
      <c r="A505" s="2453"/>
      <c r="B505" s="2454"/>
      <c r="C505" s="2455" t="s">
        <v>2700</v>
      </c>
      <c r="D505" s="2456"/>
      <c r="E505" s="2454"/>
      <c r="F505" s="2457"/>
      <c r="G505" s="2487"/>
      <c r="H505" s="2488"/>
      <c r="I505" s="2488"/>
      <c r="J505" s="2488"/>
      <c r="K505" s="2488"/>
      <c r="L505" s="2488"/>
      <c r="M505" s="2488"/>
      <c r="N505" s="2488"/>
    </row>
    <row r="506" spans="1:14" ht="13.5" customHeight="1">
      <c r="A506" s="3041"/>
      <c r="B506" s="3044" t="s">
        <v>79</v>
      </c>
      <c r="C506" s="2458" t="s">
        <v>2701</v>
      </c>
      <c r="D506" s="2033"/>
      <c r="E506" s="2459"/>
      <c r="F506" s="1981" t="s">
        <v>2806</v>
      </c>
      <c r="G506" s="2489" t="e">
        <f>ROUND(15.065-1.028*LOG($F438/1000),2)</f>
        <v>#NUM!</v>
      </c>
      <c r="H506" s="2490"/>
      <c r="I506" s="2490"/>
      <c r="J506" s="2490"/>
      <c r="K506" s="2490"/>
      <c r="L506" s="2490"/>
      <c r="M506" s="2490"/>
      <c r="N506" s="2490"/>
    </row>
    <row r="507" spans="1:14" ht="13.5" customHeight="1">
      <c r="A507" s="3042"/>
      <c r="B507" s="3045"/>
      <c r="C507" s="2491" t="s">
        <v>2703</v>
      </c>
      <c r="D507" s="2042"/>
      <c r="E507" s="2042"/>
      <c r="F507" s="2492"/>
      <c r="G507" s="2493">
        <f>IF($F438&lt;=5000000,11.26,0)</f>
        <v>11.26</v>
      </c>
      <c r="H507" s="2494"/>
      <c r="I507" s="2494"/>
      <c r="J507" s="2494"/>
      <c r="K507" s="2494"/>
      <c r="L507" s="2494"/>
      <c r="M507" s="2494"/>
      <c r="N507" s="2494"/>
    </row>
    <row r="508" spans="1:14" ht="13.5" customHeight="1">
      <c r="A508" s="3042"/>
      <c r="B508" s="3045"/>
      <c r="C508" s="2491" t="s">
        <v>2704</v>
      </c>
      <c r="D508" s="2042"/>
      <c r="E508" s="2033"/>
      <c r="F508" s="2492"/>
      <c r="G508" s="2493">
        <f>IF($F438&gt;3000000000,8.41,0)</f>
        <v>0</v>
      </c>
      <c r="H508" s="2496"/>
      <c r="I508" s="2496"/>
      <c r="J508" s="2496"/>
      <c r="K508" s="2496"/>
      <c r="L508" s="2496"/>
      <c r="M508" s="2496"/>
      <c r="N508" s="2496"/>
    </row>
    <row r="509" spans="1:14" ht="13.5" customHeight="1" thickBot="1">
      <c r="A509" s="3061" t="s">
        <v>2705</v>
      </c>
      <c r="B509" s="3062"/>
      <c r="C509" s="3062"/>
      <c r="D509" s="3062"/>
      <c r="E509" s="2497"/>
      <c r="F509" s="2498"/>
      <c r="G509" s="2499">
        <f>IF($F438&lt;=5000000,G507,IF($F438&gt;3000000000,G508,G506))</f>
        <v>11.26</v>
      </c>
      <c r="H509" s="2500"/>
      <c r="I509" s="2500"/>
      <c r="J509" s="2500"/>
      <c r="K509" s="2500"/>
      <c r="L509" s="2500"/>
      <c r="M509" s="2500"/>
      <c r="N509" s="2500"/>
    </row>
  </sheetData>
  <mergeCells count="164">
    <mergeCell ref="A506:A508"/>
    <mergeCell ref="B506:B508"/>
    <mergeCell ref="A509:D509"/>
    <mergeCell ref="A495:D495"/>
    <mergeCell ref="A498:A502"/>
    <mergeCell ref="B498:B502"/>
    <mergeCell ref="C499:C500"/>
    <mergeCell ref="C501:C502"/>
    <mergeCell ref="A503:D503"/>
    <mergeCell ref="A486:F486"/>
    <mergeCell ref="A487:F487"/>
    <mergeCell ref="A490:A494"/>
    <mergeCell ref="B490:B494"/>
    <mergeCell ref="C491:C492"/>
    <mergeCell ref="C493:C494"/>
    <mergeCell ref="A477:F477"/>
    <mergeCell ref="A478:F478"/>
    <mergeCell ref="A481:A485"/>
    <mergeCell ref="B481:B485"/>
    <mergeCell ref="C482:C483"/>
    <mergeCell ref="C484:C485"/>
    <mergeCell ref="B455:B456"/>
    <mergeCell ref="B457:B459"/>
    <mergeCell ref="A472:A476"/>
    <mergeCell ref="B472:B476"/>
    <mergeCell ref="C473:C474"/>
    <mergeCell ref="C475:C476"/>
    <mergeCell ref="A442:A449"/>
    <mergeCell ref="B443:B444"/>
    <mergeCell ref="B445:B446"/>
    <mergeCell ref="B447:B449"/>
    <mergeCell ref="A451:C451"/>
    <mergeCell ref="B453:B454"/>
    <mergeCell ref="B409:B415"/>
    <mergeCell ref="B416:B423"/>
    <mergeCell ref="B424:B426"/>
    <mergeCell ref="A435:C436"/>
    <mergeCell ref="F440:G440"/>
    <mergeCell ref="A441:C441"/>
    <mergeCell ref="F441:G441"/>
    <mergeCell ref="D389:D390"/>
    <mergeCell ref="E389:E390"/>
    <mergeCell ref="A390:C390"/>
    <mergeCell ref="B392:B395"/>
    <mergeCell ref="B396:B403"/>
    <mergeCell ref="B404:B406"/>
    <mergeCell ref="D371:D372"/>
    <mergeCell ref="E371:E372"/>
    <mergeCell ref="A372:C372"/>
    <mergeCell ref="A373:A384"/>
    <mergeCell ref="B373:B376"/>
    <mergeCell ref="B377:B380"/>
    <mergeCell ref="B382:B383"/>
    <mergeCell ref="D358:D359"/>
    <mergeCell ref="E358:E359"/>
    <mergeCell ref="A359:C359"/>
    <mergeCell ref="A360:A370"/>
    <mergeCell ref="B361:B362"/>
    <mergeCell ref="B363:B367"/>
    <mergeCell ref="B368:B369"/>
    <mergeCell ref="A334:A355"/>
    <mergeCell ref="B334:B337"/>
    <mergeCell ref="B338:B345"/>
    <mergeCell ref="C338:E338"/>
    <mergeCell ref="B346:B348"/>
    <mergeCell ref="B349:B355"/>
    <mergeCell ref="A293:A295"/>
    <mergeCell ref="B293:B295"/>
    <mergeCell ref="A296:D296"/>
    <mergeCell ref="C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B242:B243"/>
    <mergeCell ref="B244:B246"/>
    <mergeCell ref="A259:A263"/>
    <mergeCell ref="B259:B263"/>
    <mergeCell ref="C260:C261"/>
    <mergeCell ref="C262:C263"/>
    <mergeCell ref="A229:A236"/>
    <mergeCell ref="B230:B231"/>
    <mergeCell ref="B232:B233"/>
    <mergeCell ref="B234:B236"/>
    <mergeCell ref="A238:C238"/>
    <mergeCell ref="B240:B241"/>
    <mergeCell ref="B196:B202"/>
    <mergeCell ref="B203:B210"/>
    <mergeCell ref="B211:B213"/>
    <mergeCell ref="A222:C223"/>
    <mergeCell ref="F227:G227"/>
    <mergeCell ref="A228:C228"/>
    <mergeCell ref="F228:G228"/>
    <mergeCell ref="D176:D177"/>
    <mergeCell ref="E176:E177"/>
    <mergeCell ref="A177:C177"/>
    <mergeCell ref="B179:B182"/>
    <mergeCell ref="B183:B190"/>
    <mergeCell ref="B191:B193"/>
    <mergeCell ref="D158:D159"/>
    <mergeCell ref="E158:E159"/>
    <mergeCell ref="A159:C159"/>
    <mergeCell ref="A160:A171"/>
    <mergeCell ref="B160:B163"/>
    <mergeCell ref="B164:B167"/>
    <mergeCell ref="B169:B170"/>
    <mergeCell ref="B136:B142"/>
    <mergeCell ref="D145:D146"/>
    <mergeCell ref="E145:E146"/>
    <mergeCell ref="A146:C146"/>
    <mergeCell ref="A147:A157"/>
    <mergeCell ref="B148:B149"/>
    <mergeCell ref="B150:B154"/>
    <mergeCell ref="B155:B156"/>
    <mergeCell ref="B78:B79"/>
    <mergeCell ref="B81:B82"/>
    <mergeCell ref="C91:F91"/>
    <mergeCell ref="A92:F92"/>
    <mergeCell ref="A93:F93"/>
    <mergeCell ref="A121:A142"/>
    <mergeCell ref="B121:B124"/>
    <mergeCell ref="B125:B132"/>
    <mergeCell ref="C125:E125"/>
    <mergeCell ref="B133:B135"/>
    <mergeCell ref="A58:A62"/>
    <mergeCell ref="B61:B62"/>
    <mergeCell ref="B63:C63"/>
    <mergeCell ref="B68:C68"/>
    <mergeCell ref="B70:C70"/>
    <mergeCell ref="B75:C75"/>
    <mergeCell ref="B37:B43"/>
    <mergeCell ref="A44:C44"/>
    <mergeCell ref="A45:A48"/>
    <mergeCell ref="B49:C49"/>
    <mergeCell ref="B54:C54"/>
    <mergeCell ref="A57:C57"/>
    <mergeCell ref="C10:F10"/>
    <mergeCell ref="A11:F11"/>
    <mergeCell ref="A12:F12"/>
    <mergeCell ref="B22:B25"/>
    <mergeCell ref="B26:B33"/>
    <mergeCell ref="B34:B36"/>
    <mergeCell ref="C2:E2"/>
    <mergeCell ref="B4:D4"/>
    <mergeCell ref="B5:D5"/>
    <mergeCell ref="B6:D6"/>
    <mergeCell ref="D8:F8"/>
    <mergeCell ref="D9:F9"/>
  </mergeCells>
  <phoneticPr fontId="2"/>
  <conditionalFormatting sqref="F90">
    <cfRule type="expression" dxfId="1" priority="2" stopIfTrue="1">
      <formula>AND($F$117&gt;5000000,OR($E$90="無し",$E$90="なし"))</formula>
    </cfRule>
  </conditionalFormatting>
  <conditionalFormatting sqref="F303">
    <cfRule type="expression" dxfId="0" priority="1" stopIfTrue="1">
      <formula>AND($F$117&gt;5000000,OR($E$90="無し",$E$90="なし"))</formula>
    </cfRule>
  </conditionalFormatting>
  <dataValidations count="4">
    <dataValidation type="list" allowBlank="1" showInputMessage="1" showErrorMessage="1" sqref="G91:K91 JC91:JG91 SY91:TC91 ACU91:ACY91 AMQ91:AMU91 AWM91:AWQ91 BGI91:BGM91 BQE91:BQI91 CAA91:CAE91 CJW91:CKA91 CTS91:CTW91 DDO91:DDS91 DNK91:DNO91 DXG91:DXK91 EHC91:EHG91 EQY91:ERC91 FAU91:FAY91 FKQ91:FKU91 FUM91:FUQ91 GEI91:GEM91 GOE91:GOI91 GYA91:GYE91 HHW91:HIA91 HRS91:HRW91 IBO91:IBS91 ILK91:ILO91 IVG91:IVK91 JFC91:JFG91 JOY91:JPC91 JYU91:JYY91 KIQ91:KIU91 KSM91:KSQ91 LCI91:LCM91 LME91:LMI91 LWA91:LWE91 MFW91:MGA91 MPS91:MPW91 MZO91:MZS91 NJK91:NJO91 NTG91:NTK91 ODC91:ODG91 OMY91:ONC91 OWU91:OWY91 PGQ91:PGU91 PQM91:PQQ91 QAI91:QAM91 QKE91:QKI91 QUA91:QUE91 RDW91:REA91 RNS91:RNW91 RXO91:RXS91 SHK91:SHO91 SRG91:SRK91 TBC91:TBG91 TKY91:TLC91 TUU91:TUY91 UEQ91:UEU91 UOM91:UOQ91 UYI91:UYM91 VIE91:VII91 VSA91:VSE91 WBW91:WCA91 WLS91:WLW91 WVO91:WVS91 G65627:K65627 JC65627:JG65627 SY65627:TC65627 ACU65627:ACY65627 AMQ65627:AMU65627 AWM65627:AWQ65627 BGI65627:BGM65627 BQE65627:BQI65627 CAA65627:CAE65627 CJW65627:CKA65627 CTS65627:CTW65627 DDO65627:DDS65627 DNK65627:DNO65627 DXG65627:DXK65627 EHC65627:EHG65627 EQY65627:ERC65627 FAU65627:FAY65627 FKQ65627:FKU65627 FUM65627:FUQ65627 GEI65627:GEM65627 GOE65627:GOI65627 GYA65627:GYE65627 HHW65627:HIA65627 HRS65627:HRW65627 IBO65627:IBS65627 ILK65627:ILO65627 IVG65627:IVK65627 JFC65627:JFG65627 JOY65627:JPC65627 JYU65627:JYY65627 KIQ65627:KIU65627 KSM65627:KSQ65627 LCI65627:LCM65627 LME65627:LMI65627 LWA65627:LWE65627 MFW65627:MGA65627 MPS65627:MPW65627 MZO65627:MZS65627 NJK65627:NJO65627 NTG65627:NTK65627 ODC65627:ODG65627 OMY65627:ONC65627 OWU65627:OWY65627 PGQ65627:PGU65627 PQM65627:PQQ65627 QAI65627:QAM65627 QKE65627:QKI65627 QUA65627:QUE65627 RDW65627:REA65627 RNS65627:RNW65627 RXO65627:RXS65627 SHK65627:SHO65627 SRG65627:SRK65627 TBC65627:TBG65627 TKY65627:TLC65627 TUU65627:TUY65627 UEQ65627:UEU65627 UOM65627:UOQ65627 UYI65627:UYM65627 VIE65627:VII65627 VSA65627:VSE65627 WBW65627:WCA65627 WLS65627:WLW65627 WVO65627:WVS65627 G131163:K131163 JC131163:JG131163 SY131163:TC131163 ACU131163:ACY131163 AMQ131163:AMU131163 AWM131163:AWQ131163 BGI131163:BGM131163 BQE131163:BQI131163 CAA131163:CAE131163 CJW131163:CKA131163 CTS131163:CTW131163 DDO131163:DDS131163 DNK131163:DNO131163 DXG131163:DXK131163 EHC131163:EHG131163 EQY131163:ERC131163 FAU131163:FAY131163 FKQ131163:FKU131163 FUM131163:FUQ131163 GEI131163:GEM131163 GOE131163:GOI131163 GYA131163:GYE131163 HHW131163:HIA131163 HRS131163:HRW131163 IBO131163:IBS131163 ILK131163:ILO131163 IVG131163:IVK131163 JFC131163:JFG131163 JOY131163:JPC131163 JYU131163:JYY131163 KIQ131163:KIU131163 KSM131163:KSQ131163 LCI131163:LCM131163 LME131163:LMI131163 LWA131163:LWE131163 MFW131163:MGA131163 MPS131163:MPW131163 MZO131163:MZS131163 NJK131163:NJO131163 NTG131163:NTK131163 ODC131163:ODG131163 OMY131163:ONC131163 OWU131163:OWY131163 PGQ131163:PGU131163 PQM131163:PQQ131163 QAI131163:QAM131163 QKE131163:QKI131163 QUA131163:QUE131163 RDW131163:REA131163 RNS131163:RNW131163 RXO131163:RXS131163 SHK131163:SHO131163 SRG131163:SRK131163 TBC131163:TBG131163 TKY131163:TLC131163 TUU131163:TUY131163 UEQ131163:UEU131163 UOM131163:UOQ131163 UYI131163:UYM131163 VIE131163:VII131163 VSA131163:VSE131163 WBW131163:WCA131163 WLS131163:WLW131163 WVO131163:WVS131163 G196699:K196699 JC196699:JG196699 SY196699:TC196699 ACU196699:ACY196699 AMQ196699:AMU196699 AWM196699:AWQ196699 BGI196699:BGM196699 BQE196699:BQI196699 CAA196699:CAE196699 CJW196699:CKA196699 CTS196699:CTW196699 DDO196699:DDS196699 DNK196699:DNO196699 DXG196699:DXK196699 EHC196699:EHG196699 EQY196699:ERC196699 FAU196699:FAY196699 FKQ196699:FKU196699 FUM196699:FUQ196699 GEI196699:GEM196699 GOE196699:GOI196699 GYA196699:GYE196699 HHW196699:HIA196699 HRS196699:HRW196699 IBO196699:IBS196699 ILK196699:ILO196699 IVG196699:IVK196699 JFC196699:JFG196699 JOY196699:JPC196699 JYU196699:JYY196699 KIQ196699:KIU196699 KSM196699:KSQ196699 LCI196699:LCM196699 LME196699:LMI196699 LWA196699:LWE196699 MFW196699:MGA196699 MPS196699:MPW196699 MZO196699:MZS196699 NJK196699:NJO196699 NTG196699:NTK196699 ODC196699:ODG196699 OMY196699:ONC196699 OWU196699:OWY196699 PGQ196699:PGU196699 PQM196699:PQQ196699 QAI196699:QAM196699 QKE196699:QKI196699 QUA196699:QUE196699 RDW196699:REA196699 RNS196699:RNW196699 RXO196699:RXS196699 SHK196699:SHO196699 SRG196699:SRK196699 TBC196699:TBG196699 TKY196699:TLC196699 TUU196699:TUY196699 UEQ196699:UEU196699 UOM196699:UOQ196699 UYI196699:UYM196699 VIE196699:VII196699 VSA196699:VSE196699 WBW196699:WCA196699 WLS196699:WLW196699 WVO196699:WVS196699 G262235:K262235 JC262235:JG262235 SY262235:TC262235 ACU262235:ACY262235 AMQ262235:AMU262235 AWM262235:AWQ262235 BGI262235:BGM262235 BQE262235:BQI262235 CAA262235:CAE262235 CJW262235:CKA262235 CTS262235:CTW262235 DDO262235:DDS262235 DNK262235:DNO262235 DXG262235:DXK262235 EHC262235:EHG262235 EQY262235:ERC262235 FAU262235:FAY262235 FKQ262235:FKU262235 FUM262235:FUQ262235 GEI262235:GEM262235 GOE262235:GOI262235 GYA262235:GYE262235 HHW262235:HIA262235 HRS262235:HRW262235 IBO262235:IBS262235 ILK262235:ILO262235 IVG262235:IVK262235 JFC262235:JFG262235 JOY262235:JPC262235 JYU262235:JYY262235 KIQ262235:KIU262235 KSM262235:KSQ262235 LCI262235:LCM262235 LME262235:LMI262235 LWA262235:LWE262235 MFW262235:MGA262235 MPS262235:MPW262235 MZO262235:MZS262235 NJK262235:NJO262235 NTG262235:NTK262235 ODC262235:ODG262235 OMY262235:ONC262235 OWU262235:OWY262235 PGQ262235:PGU262235 PQM262235:PQQ262235 QAI262235:QAM262235 QKE262235:QKI262235 QUA262235:QUE262235 RDW262235:REA262235 RNS262235:RNW262235 RXO262235:RXS262235 SHK262235:SHO262235 SRG262235:SRK262235 TBC262235:TBG262235 TKY262235:TLC262235 TUU262235:TUY262235 UEQ262235:UEU262235 UOM262235:UOQ262235 UYI262235:UYM262235 VIE262235:VII262235 VSA262235:VSE262235 WBW262235:WCA262235 WLS262235:WLW262235 WVO262235:WVS262235 G327771:K327771 JC327771:JG327771 SY327771:TC327771 ACU327771:ACY327771 AMQ327771:AMU327771 AWM327771:AWQ327771 BGI327771:BGM327771 BQE327771:BQI327771 CAA327771:CAE327771 CJW327771:CKA327771 CTS327771:CTW327771 DDO327771:DDS327771 DNK327771:DNO327771 DXG327771:DXK327771 EHC327771:EHG327771 EQY327771:ERC327771 FAU327771:FAY327771 FKQ327771:FKU327771 FUM327771:FUQ327771 GEI327771:GEM327771 GOE327771:GOI327771 GYA327771:GYE327771 HHW327771:HIA327771 HRS327771:HRW327771 IBO327771:IBS327771 ILK327771:ILO327771 IVG327771:IVK327771 JFC327771:JFG327771 JOY327771:JPC327771 JYU327771:JYY327771 KIQ327771:KIU327771 KSM327771:KSQ327771 LCI327771:LCM327771 LME327771:LMI327771 LWA327771:LWE327771 MFW327771:MGA327771 MPS327771:MPW327771 MZO327771:MZS327771 NJK327771:NJO327771 NTG327771:NTK327771 ODC327771:ODG327771 OMY327771:ONC327771 OWU327771:OWY327771 PGQ327771:PGU327771 PQM327771:PQQ327771 QAI327771:QAM327771 QKE327771:QKI327771 QUA327771:QUE327771 RDW327771:REA327771 RNS327771:RNW327771 RXO327771:RXS327771 SHK327771:SHO327771 SRG327771:SRK327771 TBC327771:TBG327771 TKY327771:TLC327771 TUU327771:TUY327771 UEQ327771:UEU327771 UOM327771:UOQ327771 UYI327771:UYM327771 VIE327771:VII327771 VSA327771:VSE327771 WBW327771:WCA327771 WLS327771:WLW327771 WVO327771:WVS327771 G393307:K393307 JC393307:JG393307 SY393307:TC393307 ACU393307:ACY393307 AMQ393307:AMU393307 AWM393307:AWQ393307 BGI393307:BGM393307 BQE393307:BQI393307 CAA393307:CAE393307 CJW393307:CKA393307 CTS393307:CTW393307 DDO393307:DDS393307 DNK393307:DNO393307 DXG393307:DXK393307 EHC393307:EHG393307 EQY393307:ERC393307 FAU393307:FAY393307 FKQ393307:FKU393307 FUM393307:FUQ393307 GEI393307:GEM393307 GOE393307:GOI393307 GYA393307:GYE393307 HHW393307:HIA393307 HRS393307:HRW393307 IBO393307:IBS393307 ILK393307:ILO393307 IVG393307:IVK393307 JFC393307:JFG393307 JOY393307:JPC393307 JYU393307:JYY393307 KIQ393307:KIU393307 KSM393307:KSQ393307 LCI393307:LCM393307 LME393307:LMI393307 LWA393307:LWE393307 MFW393307:MGA393307 MPS393307:MPW393307 MZO393307:MZS393307 NJK393307:NJO393307 NTG393307:NTK393307 ODC393307:ODG393307 OMY393307:ONC393307 OWU393307:OWY393307 PGQ393307:PGU393307 PQM393307:PQQ393307 QAI393307:QAM393307 QKE393307:QKI393307 QUA393307:QUE393307 RDW393307:REA393307 RNS393307:RNW393307 RXO393307:RXS393307 SHK393307:SHO393307 SRG393307:SRK393307 TBC393307:TBG393307 TKY393307:TLC393307 TUU393307:TUY393307 UEQ393307:UEU393307 UOM393307:UOQ393307 UYI393307:UYM393307 VIE393307:VII393307 VSA393307:VSE393307 WBW393307:WCA393307 WLS393307:WLW393307 WVO393307:WVS393307 G458843:K458843 JC458843:JG458843 SY458843:TC458843 ACU458843:ACY458843 AMQ458843:AMU458843 AWM458843:AWQ458843 BGI458843:BGM458843 BQE458843:BQI458843 CAA458843:CAE458843 CJW458843:CKA458843 CTS458843:CTW458843 DDO458843:DDS458843 DNK458843:DNO458843 DXG458843:DXK458843 EHC458843:EHG458843 EQY458843:ERC458843 FAU458843:FAY458843 FKQ458843:FKU458843 FUM458843:FUQ458843 GEI458843:GEM458843 GOE458843:GOI458843 GYA458843:GYE458843 HHW458843:HIA458843 HRS458843:HRW458843 IBO458843:IBS458843 ILK458843:ILO458843 IVG458843:IVK458843 JFC458843:JFG458843 JOY458843:JPC458843 JYU458843:JYY458843 KIQ458843:KIU458843 KSM458843:KSQ458843 LCI458843:LCM458843 LME458843:LMI458843 LWA458843:LWE458843 MFW458843:MGA458843 MPS458843:MPW458843 MZO458843:MZS458843 NJK458843:NJO458843 NTG458843:NTK458843 ODC458843:ODG458843 OMY458843:ONC458843 OWU458843:OWY458843 PGQ458843:PGU458843 PQM458843:PQQ458843 QAI458843:QAM458843 QKE458843:QKI458843 QUA458843:QUE458843 RDW458843:REA458843 RNS458843:RNW458843 RXO458843:RXS458843 SHK458843:SHO458843 SRG458843:SRK458843 TBC458843:TBG458843 TKY458843:TLC458843 TUU458843:TUY458843 UEQ458843:UEU458843 UOM458843:UOQ458843 UYI458843:UYM458843 VIE458843:VII458843 VSA458843:VSE458843 WBW458843:WCA458843 WLS458843:WLW458843 WVO458843:WVS458843 G524379:K524379 JC524379:JG524379 SY524379:TC524379 ACU524379:ACY524379 AMQ524379:AMU524379 AWM524379:AWQ524379 BGI524379:BGM524379 BQE524379:BQI524379 CAA524379:CAE524379 CJW524379:CKA524379 CTS524379:CTW524379 DDO524379:DDS524379 DNK524379:DNO524379 DXG524379:DXK524379 EHC524379:EHG524379 EQY524379:ERC524379 FAU524379:FAY524379 FKQ524379:FKU524379 FUM524379:FUQ524379 GEI524379:GEM524379 GOE524379:GOI524379 GYA524379:GYE524379 HHW524379:HIA524379 HRS524379:HRW524379 IBO524379:IBS524379 ILK524379:ILO524379 IVG524379:IVK524379 JFC524379:JFG524379 JOY524379:JPC524379 JYU524379:JYY524379 KIQ524379:KIU524379 KSM524379:KSQ524379 LCI524379:LCM524379 LME524379:LMI524379 LWA524379:LWE524379 MFW524379:MGA524379 MPS524379:MPW524379 MZO524379:MZS524379 NJK524379:NJO524379 NTG524379:NTK524379 ODC524379:ODG524379 OMY524379:ONC524379 OWU524379:OWY524379 PGQ524379:PGU524379 PQM524379:PQQ524379 QAI524379:QAM524379 QKE524379:QKI524379 QUA524379:QUE524379 RDW524379:REA524379 RNS524379:RNW524379 RXO524379:RXS524379 SHK524379:SHO524379 SRG524379:SRK524379 TBC524379:TBG524379 TKY524379:TLC524379 TUU524379:TUY524379 UEQ524379:UEU524379 UOM524379:UOQ524379 UYI524379:UYM524379 VIE524379:VII524379 VSA524379:VSE524379 WBW524379:WCA524379 WLS524379:WLW524379 WVO524379:WVS524379 G589915:K589915 JC589915:JG589915 SY589915:TC589915 ACU589915:ACY589915 AMQ589915:AMU589915 AWM589915:AWQ589915 BGI589915:BGM589915 BQE589915:BQI589915 CAA589915:CAE589915 CJW589915:CKA589915 CTS589915:CTW589915 DDO589915:DDS589915 DNK589915:DNO589915 DXG589915:DXK589915 EHC589915:EHG589915 EQY589915:ERC589915 FAU589915:FAY589915 FKQ589915:FKU589915 FUM589915:FUQ589915 GEI589915:GEM589915 GOE589915:GOI589915 GYA589915:GYE589915 HHW589915:HIA589915 HRS589915:HRW589915 IBO589915:IBS589915 ILK589915:ILO589915 IVG589915:IVK589915 JFC589915:JFG589915 JOY589915:JPC589915 JYU589915:JYY589915 KIQ589915:KIU589915 KSM589915:KSQ589915 LCI589915:LCM589915 LME589915:LMI589915 LWA589915:LWE589915 MFW589915:MGA589915 MPS589915:MPW589915 MZO589915:MZS589915 NJK589915:NJO589915 NTG589915:NTK589915 ODC589915:ODG589915 OMY589915:ONC589915 OWU589915:OWY589915 PGQ589915:PGU589915 PQM589915:PQQ589915 QAI589915:QAM589915 QKE589915:QKI589915 QUA589915:QUE589915 RDW589915:REA589915 RNS589915:RNW589915 RXO589915:RXS589915 SHK589915:SHO589915 SRG589915:SRK589915 TBC589915:TBG589915 TKY589915:TLC589915 TUU589915:TUY589915 UEQ589915:UEU589915 UOM589915:UOQ589915 UYI589915:UYM589915 VIE589915:VII589915 VSA589915:VSE589915 WBW589915:WCA589915 WLS589915:WLW589915 WVO589915:WVS589915 G655451:K655451 JC655451:JG655451 SY655451:TC655451 ACU655451:ACY655451 AMQ655451:AMU655451 AWM655451:AWQ655451 BGI655451:BGM655451 BQE655451:BQI655451 CAA655451:CAE655451 CJW655451:CKA655451 CTS655451:CTW655451 DDO655451:DDS655451 DNK655451:DNO655451 DXG655451:DXK655451 EHC655451:EHG655451 EQY655451:ERC655451 FAU655451:FAY655451 FKQ655451:FKU655451 FUM655451:FUQ655451 GEI655451:GEM655451 GOE655451:GOI655451 GYA655451:GYE655451 HHW655451:HIA655451 HRS655451:HRW655451 IBO655451:IBS655451 ILK655451:ILO655451 IVG655451:IVK655451 JFC655451:JFG655451 JOY655451:JPC655451 JYU655451:JYY655451 KIQ655451:KIU655451 KSM655451:KSQ655451 LCI655451:LCM655451 LME655451:LMI655451 LWA655451:LWE655451 MFW655451:MGA655451 MPS655451:MPW655451 MZO655451:MZS655451 NJK655451:NJO655451 NTG655451:NTK655451 ODC655451:ODG655451 OMY655451:ONC655451 OWU655451:OWY655451 PGQ655451:PGU655451 PQM655451:PQQ655451 QAI655451:QAM655451 QKE655451:QKI655451 QUA655451:QUE655451 RDW655451:REA655451 RNS655451:RNW655451 RXO655451:RXS655451 SHK655451:SHO655451 SRG655451:SRK655451 TBC655451:TBG655451 TKY655451:TLC655451 TUU655451:TUY655451 UEQ655451:UEU655451 UOM655451:UOQ655451 UYI655451:UYM655451 VIE655451:VII655451 VSA655451:VSE655451 WBW655451:WCA655451 WLS655451:WLW655451 WVO655451:WVS655451 G720987:K720987 JC720987:JG720987 SY720987:TC720987 ACU720987:ACY720987 AMQ720987:AMU720987 AWM720987:AWQ720987 BGI720987:BGM720987 BQE720987:BQI720987 CAA720987:CAE720987 CJW720987:CKA720987 CTS720987:CTW720987 DDO720987:DDS720987 DNK720987:DNO720987 DXG720987:DXK720987 EHC720987:EHG720987 EQY720987:ERC720987 FAU720987:FAY720987 FKQ720987:FKU720987 FUM720987:FUQ720987 GEI720987:GEM720987 GOE720987:GOI720987 GYA720987:GYE720987 HHW720987:HIA720987 HRS720987:HRW720987 IBO720987:IBS720987 ILK720987:ILO720987 IVG720987:IVK720987 JFC720987:JFG720987 JOY720987:JPC720987 JYU720987:JYY720987 KIQ720987:KIU720987 KSM720987:KSQ720987 LCI720987:LCM720987 LME720987:LMI720987 LWA720987:LWE720987 MFW720987:MGA720987 MPS720987:MPW720987 MZO720987:MZS720987 NJK720987:NJO720987 NTG720987:NTK720987 ODC720987:ODG720987 OMY720987:ONC720987 OWU720987:OWY720987 PGQ720987:PGU720987 PQM720987:PQQ720987 QAI720987:QAM720987 QKE720987:QKI720987 QUA720987:QUE720987 RDW720987:REA720987 RNS720987:RNW720987 RXO720987:RXS720987 SHK720987:SHO720987 SRG720987:SRK720987 TBC720987:TBG720987 TKY720987:TLC720987 TUU720987:TUY720987 UEQ720987:UEU720987 UOM720987:UOQ720987 UYI720987:UYM720987 VIE720987:VII720987 VSA720987:VSE720987 WBW720987:WCA720987 WLS720987:WLW720987 WVO720987:WVS720987 G786523:K786523 JC786523:JG786523 SY786523:TC786523 ACU786523:ACY786523 AMQ786523:AMU786523 AWM786523:AWQ786523 BGI786523:BGM786523 BQE786523:BQI786523 CAA786523:CAE786523 CJW786523:CKA786523 CTS786523:CTW786523 DDO786523:DDS786523 DNK786523:DNO786523 DXG786523:DXK786523 EHC786523:EHG786523 EQY786523:ERC786523 FAU786523:FAY786523 FKQ786523:FKU786523 FUM786523:FUQ786523 GEI786523:GEM786523 GOE786523:GOI786523 GYA786523:GYE786523 HHW786523:HIA786523 HRS786523:HRW786523 IBO786523:IBS786523 ILK786523:ILO786523 IVG786523:IVK786523 JFC786523:JFG786523 JOY786523:JPC786523 JYU786523:JYY786523 KIQ786523:KIU786523 KSM786523:KSQ786523 LCI786523:LCM786523 LME786523:LMI786523 LWA786523:LWE786523 MFW786523:MGA786523 MPS786523:MPW786523 MZO786523:MZS786523 NJK786523:NJO786523 NTG786523:NTK786523 ODC786523:ODG786523 OMY786523:ONC786523 OWU786523:OWY786523 PGQ786523:PGU786523 PQM786523:PQQ786523 QAI786523:QAM786523 QKE786523:QKI786523 QUA786523:QUE786523 RDW786523:REA786523 RNS786523:RNW786523 RXO786523:RXS786523 SHK786523:SHO786523 SRG786523:SRK786523 TBC786523:TBG786523 TKY786523:TLC786523 TUU786523:TUY786523 UEQ786523:UEU786523 UOM786523:UOQ786523 UYI786523:UYM786523 VIE786523:VII786523 VSA786523:VSE786523 WBW786523:WCA786523 WLS786523:WLW786523 WVO786523:WVS786523 G852059:K852059 JC852059:JG852059 SY852059:TC852059 ACU852059:ACY852059 AMQ852059:AMU852059 AWM852059:AWQ852059 BGI852059:BGM852059 BQE852059:BQI852059 CAA852059:CAE852059 CJW852059:CKA852059 CTS852059:CTW852059 DDO852059:DDS852059 DNK852059:DNO852059 DXG852059:DXK852059 EHC852059:EHG852059 EQY852059:ERC852059 FAU852059:FAY852059 FKQ852059:FKU852059 FUM852059:FUQ852059 GEI852059:GEM852059 GOE852059:GOI852059 GYA852059:GYE852059 HHW852059:HIA852059 HRS852059:HRW852059 IBO852059:IBS852059 ILK852059:ILO852059 IVG852059:IVK852059 JFC852059:JFG852059 JOY852059:JPC852059 JYU852059:JYY852059 KIQ852059:KIU852059 KSM852059:KSQ852059 LCI852059:LCM852059 LME852059:LMI852059 LWA852059:LWE852059 MFW852059:MGA852059 MPS852059:MPW852059 MZO852059:MZS852059 NJK852059:NJO852059 NTG852059:NTK852059 ODC852059:ODG852059 OMY852059:ONC852059 OWU852059:OWY852059 PGQ852059:PGU852059 PQM852059:PQQ852059 QAI852059:QAM852059 QKE852059:QKI852059 QUA852059:QUE852059 RDW852059:REA852059 RNS852059:RNW852059 RXO852059:RXS852059 SHK852059:SHO852059 SRG852059:SRK852059 TBC852059:TBG852059 TKY852059:TLC852059 TUU852059:TUY852059 UEQ852059:UEU852059 UOM852059:UOQ852059 UYI852059:UYM852059 VIE852059:VII852059 VSA852059:VSE852059 WBW852059:WCA852059 WLS852059:WLW852059 WVO852059:WVS852059 G917595:K917595 JC917595:JG917595 SY917595:TC917595 ACU917595:ACY917595 AMQ917595:AMU917595 AWM917595:AWQ917595 BGI917595:BGM917595 BQE917595:BQI917595 CAA917595:CAE917595 CJW917595:CKA917595 CTS917595:CTW917595 DDO917595:DDS917595 DNK917595:DNO917595 DXG917595:DXK917595 EHC917595:EHG917595 EQY917595:ERC917595 FAU917595:FAY917595 FKQ917595:FKU917595 FUM917595:FUQ917595 GEI917595:GEM917595 GOE917595:GOI917595 GYA917595:GYE917595 HHW917595:HIA917595 HRS917595:HRW917595 IBO917595:IBS917595 ILK917595:ILO917595 IVG917595:IVK917595 JFC917595:JFG917595 JOY917595:JPC917595 JYU917595:JYY917595 KIQ917595:KIU917595 KSM917595:KSQ917595 LCI917595:LCM917595 LME917595:LMI917595 LWA917595:LWE917595 MFW917595:MGA917595 MPS917595:MPW917595 MZO917595:MZS917595 NJK917595:NJO917595 NTG917595:NTK917595 ODC917595:ODG917595 OMY917595:ONC917595 OWU917595:OWY917595 PGQ917595:PGU917595 PQM917595:PQQ917595 QAI917595:QAM917595 QKE917595:QKI917595 QUA917595:QUE917595 RDW917595:REA917595 RNS917595:RNW917595 RXO917595:RXS917595 SHK917595:SHO917595 SRG917595:SRK917595 TBC917595:TBG917595 TKY917595:TLC917595 TUU917595:TUY917595 UEQ917595:UEU917595 UOM917595:UOQ917595 UYI917595:UYM917595 VIE917595:VII917595 VSA917595:VSE917595 WBW917595:WCA917595 WLS917595:WLW917595 WVO917595:WVS917595 G983131:K983131 JC983131:JG983131 SY983131:TC983131 ACU983131:ACY983131 AMQ983131:AMU983131 AWM983131:AWQ983131 BGI983131:BGM983131 BQE983131:BQI983131 CAA983131:CAE983131 CJW983131:CKA983131 CTS983131:CTW983131 DDO983131:DDS983131 DNK983131:DNO983131 DXG983131:DXK983131 EHC983131:EHG983131 EQY983131:ERC983131 FAU983131:FAY983131 FKQ983131:FKU983131 FUM983131:FUQ983131 GEI983131:GEM983131 GOE983131:GOI983131 GYA983131:GYE983131 HHW983131:HIA983131 HRS983131:HRW983131 IBO983131:IBS983131 ILK983131:ILO983131 IVG983131:IVK983131 JFC983131:JFG983131 JOY983131:JPC983131 JYU983131:JYY983131 KIQ983131:KIU983131 KSM983131:KSQ983131 LCI983131:LCM983131 LME983131:LMI983131 LWA983131:LWE983131 MFW983131:MGA983131 MPS983131:MPW983131 MZO983131:MZS983131 NJK983131:NJO983131 NTG983131:NTK983131 ODC983131:ODG983131 OMY983131:ONC983131 OWU983131:OWY983131 PGQ983131:PGU983131 PQM983131:PQQ983131 QAI983131:QAM983131 QKE983131:QKI983131 QUA983131:QUE983131 RDW983131:REA983131 RNS983131:RNW983131 RXO983131:RXS983131 SHK983131:SHO983131 SRG983131:SRK983131 TBC983131:TBG983131 TKY983131:TLC983131 TUU983131:TUY983131 UEQ983131:UEU983131 UOM983131:UOQ983131 UYI983131:UYM983131 VIE983131:VII983131 VSA983131:VSE983131 WBW983131:WCA983131 WLS983131:WLW983131 WVO983131:WVS983131" xr:uid="{00000000-0002-0000-1800-000000000000}">
      <formula1>"積上げ,積上げ・率処理併用"</formula1>
    </dataValidation>
    <dataValidation type="list" allowBlank="1" showInputMessage="1" showErrorMessage="1" sqref="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" xr:uid="{00000000-0002-0000-1800-000001000000}">
      <formula1>"改修,新営"</formula1>
    </dataValidation>
    <dataValidation type="list" allowBlank="1" showInputMessage="1" showErrorMessage="1" sqref="G92:N92 JC92:JJ92 SY92:TF92 ACU92:ADB92 AMQ92:AMX92 AWM92:AWT92 BGI92:BGP92 BQE92:BQL92 CAA92:CAH92 CJW92:CKD92 CTS92:CTZ92 DDO92:DDV92 DNK92:DNR92 DXG92:DXN92 EHC92:EHJ92 EQY92:ERF92 FAU92:FBB92 FKQ92:FKX92 FUM92:FUT92 GEI92:GEP92 GOE92:GOL92 GYA92:GYH92 HHW92:HID92 HRS92:HRZ92 IBO92:IBV92 ILK92:ILR92 IVG92:IVN92 JFC92:JFJ92 JOY92:JPF92 JYU92:JZB92 KIQ92:KIX92 KSM92:KST92 LCI92:LCP92 LME92:LML92 LWA92:LWH92 MFW92:MGD92 MPS92:MPZ92 MZO92:MZV92 NJK92:NJR92 NTG92:NTN92 ODC92:ODJ92 OMY92:ONF92 OWU92:OXB92 PGQ92:PGX92 PQM92:PQT92 QAI92:QAP92 QKE92:QKL92 QUA92:QUH92 RDW92:RED92 RNS92:RNZ92 RXO92:RXV92 SHK92:SHR92 SRG92:SRN92 TBC92:TBJ92 TKY92:TLF92 TUU92:TVB92 UEQ92:UEX92 UOM92:UOT92 UYI92:UYP92 VIE92:VIL92 VSA92:VSH92 WBW92:WCD92 WLS92:WLZ92 WVO92:WVV92 G65628:N65628 JC65628:JJ65628 SY65628:TF65628 ACU65628:ADB65628 AMQ65628:AMX65628 AWM65628:AWT65628 BGI65628:BGP65628 BQE65628:BQL65628 CAA65628:CAH65628 CJW65628:CKD65628 CTS65628:CTZ65628 DDO65628:DDV65628 DNK65628:DNR65628 DXG65628:DXN65628 EHC65628:EHJ65628 EQY65628:ERF65628 FAU65628:FBB65628 FKQ65628:FKX65628 FUM65628:FUT65628 GEI65628:GEP65628 GOE65628:GOL65628 GYA65628:GYH65628 HHW65628:HID65628 HRS65628:HRZ65628 IBO65628:IBV65628 ILK65628:ILR65628 IVG65628:IVN65628 JFC65628:JFJ65628 JOY65628:JPF65628 JYU65628:JZB65628 KIQ65628:KIX65628 KSM65628:KST65628 LCI65628:LCP65628 LME65628:LML65628 LWA65628:LWH65628 MFW65628:MGD65628 MPS65628:MPZ65628 MZO65628:MZV65628 NJK65628:NJR65628 NTG65628:NTN65628 ODC65628:ODJ65628 OMY65628:ONF65628 OWU65628:OXB65628 PGQ65628:PGX65628 PQM65628:PQT65628 QAI65628:QAP65628 QKE65628:QKL65628 QUA65628:QUH65628 RDW65628:RED65628 RNS65628:RNZ65628 RXO65628:RXV65628 SHK65628:SHR65628 SRG65628:SRN65628 TBC65628:TBJ65628 TKY65628:TLF65628 TUU65628:TVB65628 UEQ65628:UEX65628 UOM65628:UOT65628 UYI65628:UYP65628 VIE65628:VIL65628 VSA65628:VSH65628 WBW65628:WCD65628 WLS65628:WLZ65628 WVO65628:WVV65628 G131164:N131164 JC131164:JJ131164 SY131164:TF131164 ACU131164:ADB131164 AMQ131164:AMX131164 AWM131164:AWT131164 BGI131164:BGP131164 BQE131164:BQL131164 CAA131164:CAH131164 CJW131164:CKD131164 CTS131164:CTZ131164 DDO131164:DDV131164 DNK131164:DNR131164 DXG131164:DXN131164 EHC131164:EHJ131164 EQY131164:ERF131164 FAU131164:FBB131164 FKQ131164:FKX131164 FUM131164:FUT131164 GEI131164:GEP131164 GOE131164:GOL131164 GYA131164:GYH131164 HHW131164:HID131164 HRS131164:HRZ131164 IBO131164:IBV131164 ILK131164:ILR131164 IVG131164:IVN131164 JFC131164:JFJ131164 JOY131164:JPF131164 JYU131164:JZB131164 KIQ131164:KIX131164 KSM131164:KST131164 LCI131164:LCP131164 LME131164:LML131164 LWA131164:LWH131164 MFW131164:MGD131164 MPS131164:MPZ131164 MZO131164:MZV131164 NJK131164:NJR131164 NTG131164:NTN131164 ODC131164:ODJ131164 OMY131164:ONF131164 OWU131164:OXB131164 PGQ131164:PGX131164 PQM131164:PQT131164 QAI131164:QAP131164 QKE131164:QKL131164 QUA131164:QUH131164 RDW131164:RED131164 RNS131164:RNZ131164 RXO131164:RXV131164 SHK131164:SHR131164 SRG131164:SRN131164 TBC131164:TBJ131164 TKY131164:TLF131164 TUU131164:TVB131164 UEQ131164:UEX131164 UOM131164:UOT131164 UYI131164:UYP131164 VIE131164:VIL131164 VSA131164:VSH131164 WBW131164:WCD131164 WLS131164:WLZ131164 WVO131164:WVV131164 G196700:N196700 JC196700:JJ196700 SY196700:TF196700 ACU196700:ADB196700 AMQ196700:AMX196700 AWM196700:AWT196700 BGI196700:BGP196700 BQE196700:BQL196700 CAA196700:CAH196700 CJW196700:CKD196700 CTS196700:CTZ196700 DDO196700:DDV196700 DNK196700:DNR196700 DXG196700:DXN196700 EHC196700:EHJ196700 EQY196700:ERF196700 FAU196700:FBB196700 FKQ196700:FKX196700 FUM196700:FUT196700 GEI196700:GEP196700 GOE196700:GOL196700 GYA196700:GYH196700 HHW196700:HID196700 HRS196700:HRZ196700 IBO196700:IBV196700 ILK196700:ILR196700 IVG196700:IVN196700 JFC196700:JFJ196700 JOY196700:JPF196700 JYU196700:JZB196700 KIQ196700:KIX196700 KSM196700:KST196700 LCI196700:LCP196700 LME196700:LML196700 LWA196700:LWH196700 MFW196700:MGD196700 MPS196700:MPZ196700 MZO196700:MZV196700 NJK196700:NJR196700 NTG196700:NTN196700 ODC196700:ODJ196700 OMY196700:ONF196700 OWU196700:OXB196700 PGQ196700:PGX196700 PQM196700:PQT196700 QAI196700:QAP196700 QKE196700:QKL196700 QUA196700:QUH196700 RDW196700:RED196700 RNS196700:RNZ196700 RXO196700:RXV196700 SHK196700:SHR196700 SRG196700:SRN196700 TBC196700:TBJ196700 TKY196700:TLF196700 TUU196700:TVB196700 UEQ196700:UEX196700 UOM196700:UOT196700 UYI196700:UYP196700 VIE196700:VIL196700 VSA196700:VSH196700 WBW196700:WCD196700 WLS196700:WLZ196700 WVO196700:WVV196700 G262236:N262236 JC262236:JJ262236 SY262236:TF262236 ACU262236:ADB262236 AMQ262236:AMX262236 AWM262236:AWT262236 BGI262236:BGP262236 BQE262236:BQL262236 CAA262236:CAH262236 CJW262236:CKD262236 CTS262236:CTZ262236 DDO262236:DDV262236 DNK262236:DNR262236 DXG262236:DXN262236 EHC262236:EHJ262236 EQY262236:ERF262236 FAU262236:FBB262236 FKQ262236:FKX262236 FUM262236:FUT262236 GEI262236:GEP262236 GOE262236:GOL262236 GYA262236:GYH262236 HHW262236:HID262236 HRS262236:HRZ262236 IBO262236:IBV262236 ILK262236:ILR262236 IVG262236:IVN262236 JFC262236:JFJ262236 JOY262236:JPF262236 JYU262236:JZB262236 KIQ262236:KIX262236 KSM262236:KST262236 LCI262236:LCP262236 LME262236:LML262236 LWA262236:LWH262236 MFW262236:MGD262236 MPS262236:MPZ262236 MZO262236:MZV262236 NJK262236:NJR262236 NTG262236:NTN262236 ODC262236:ODJ262236 OMY262236:ONF262236 OWU262236:OXB262236 PGQ262236:PGX262236 PQM262236:PQT262236 QAI262236:QAP262236 QKE262236:QKL262236 QUA262236:QUH262236 RDW262236:RED262236 RNS262236:RNZ262236 RXO262236:RXV262236 SHK262236:SHR262236 SRG262236:SRN262236 TBC262236:TBJ262236 TKY262236:TLF262236 TUU262236:TVB262236 UEQ262236:UEX262236 UOM262236:UOT262236 UYI262236:UYP262236 VIE262236:VIL262236 VSA262236:VSH262236 WBW262236:WCD262236 WLS262236:WLZ262236 WVO262236:WVV262236 G327772:N327772 JC327772:JJ327772 SY327772:TF327772 ACU327772:ADB327772 AMQ327772:AMX327772 AWM327772:AWT327772 BGI327772:BGP327772 BQE327772:BQL327772 CAA327772:CAH327772 CJW327772:CKD327772 CTS327772:CTZ327772 DDO327772:DDV327772 DNK327772:DNR327772 DXG327772:DXN327772 EHC327772:EHJ327772 EQY327772:ERF327772 FAU327772:FBB327772 FKQ327772:FKX327772 FUM327772:FUT327772 GEI327772:GEP327772 GOE327772:GOL327772 GYA327772:GYH327772 HHW327772:HID327772 HRS327772:HRZ327772 IBO327772:IBV327772 ILK327772:ILR327772 IVG327772:IVN327772 JFC327772:JFJ327772 JOY327772:JPF327772 JYU327772:JZB327772 KIQ327772:KIX327772 KSM327772:KST327772 LCI327772:LCP327772 LME327772:LML327772 LWA327772:LWH327772 MFW327772:MGD327772 MPS327772:MPZ327772 MZO327772:MZV327772 NJK327772:NJR327772 NTG327772:NTN327772 ODC327772:ODJ327772 OMY327772:ONF327772 OWU327772:OXB327772 PGQ327772:PGX327772 PQM327772:PQT327772 QAI327772:QAP327772 QKE327772:QKL327772 QUA327772:QUH327772 RDW327772:RED327772 RNS327772:RNZ327772 RXO327772:RXV327772 SHK327772:SHR327772 SRG327772:SRN327772 TBC327772:TBJ327772 TKY327772:TLF327772 TUU327772:TVB327772 UEQ327772:UEX327772 UOM327772:UOT327772 UYI327772:UYP327772 VIE327772:VIL327772 VSA327772:VSH327772 WBW327772:WCD327772 WLS327772:WLZ327772 WVO327772:WVV327772 G393308:N393308 JC393308:JJ393308 SY393308:TF393308 ACU393308:ADB393308 AMQ393308:AMX393308 AWM393308:AWT393308 BGI393308:BGP393308 BQE393308:BQL393308 CAA393308:CAH393308 CJW393308:CKD393308 CTS393308:CTZ393308 DDO393308:DDV393308 DNK393308:DNR393308 DXG393308:DXN393308 EHC393308:EHJ393308 EQY393308:ERF393308 FAU393308:FBB393308 FKQ393308:FKX393308 FUM393308:FUT393308 GEI393308:GEP393308 GOE393308:GOL393308 GYA393308:GYH393308 HHW393308:HID393308 HRS393308:HRZ393308 IBO393308:IBV393308 ILK393308:ILR393308 IVG393308:IVN393308 JFC393308:JFJ393308 JOY393308:JPF393308 JYU393308:JZB393308 KIQ393308:KIX393308 KSM393308:KST393308 LCI393308:LCP393308 LME393308:LML393308 LWA393308:LWH393308 MFW393308:MGD393308 MPS393308:MPZ393308 MZO393308:MZV393308 NJK393308:NJR393308 NTG393308:NTN393308 ODC393308:ODJ393308 OMY393308:ONF393308 OWU393308:OXB393308 PGQ393308:PGX393308 PQM393308:PQT393308 QAI393308:QAP393308 QKE393308:QKL393308 QUA393308:QUH393308 RDW393308:RED393308 RNS393308:RNZ393308 RXO393308:RXV393308 SHK393308:SHR393308 SRG393308:SRN393308 TBC393308:TBJ393308 TKY393308:TLF393308 TUU393308:TVB393308 UEQ393308:UEX393308 UOM393308:UOT393308 UYI393308:UYP393308 VIE393308:VIL393308 VSA393308:VSH393308 WBW393308:WCD393308 WLS393308:WLZ393308 WVO393308:WVV393308 G458844:N458844 JC458844:JJ458844 SY458844:TF458844 ACU458844:ADB458844 AMQ458844:AMX458844 AWM458844:AWT458844 BGI458844:BGP458844 BQE458844:BQL458844 CAA458844:CAH458844 CJW458844:CKD458844 CTS458844:CTZ458844 DDO458844:DDV458844 DNK458844:DNR458844 DXG458844:DXN458844 EHC458844:EHJ458844 EQY458844:ERF458844 FAU458844:FBB458844 FKQ458844:FKX458844 FUM458844:FUT458844 GEI458844:GEP458844 GOE458844:GOL458844 GYA458844:GYH458844 HHW458844:HID458844 HRS458844:HRZ458844 IBO458844:IBV458844 ILK458844:ILR458844 IVG458844:IVN458844 JFC458844:JFJ458844 JOY458844:JPF458844 JYU458844:JZB458844 KIQ458844:KIX458844 KSM458844:KST458844 LCI458844:LCP458844 LME458844:LML458844 LWA458844:LWH458844 MFW458844:MGD458844 MPS458844:MPZ458844 MZO458844:MZV458844 NJK458844:NJR458844 NTG458844:NTN458844 ODC458844:ODJ458844 OMY458844:ONF458844 OWU458844:OXB458844 PGQ458844:PGX458844 PQM458844:PQT458844 QAI458844:QAP458844 QKE458844:QKL458844 QUA458844:QUH458844 RDW458844:RED458844 RNS458844:RNZ458844 RXO458844:RXV458844 SHK458844:SHR458844 SRG458844:SRN458844 TBC458844:TBJ458844 TKY458844:TLF458844 TUU458844:TVB458844 UEQ458844:UEX458844 UOM458844:UOT458844 UYI458844:UYP458844 VIE458844:VIL458844 VSA458844:VSH458844 WBW458844:WCD458844 WLS458844:WLZ458844 WVO458844:WVV458844 G524380:N524380 JC524380:JJ524380 SY524380:TF524380 ACU524380:ADB524380 AMQ524380:AMX524380 AWM524380:AWT524380 BGI524380:BGP524380 BQE524380:BQL524380 CAA524380:CAH524380 CJW524380:CKD524380 CTS524380:CTZ524380 DDO524380:DDV524380 DNK524380:DNR524380 DXG524380:DXN524380 EHC524380:EHJ524380 EQY524380:ERF524380 FAU524380:FBB524380 FKQ524380:FKX524380 FUM524380:FUT524380 GEI524380:GEP524380 GOE524380:GOL524380 GYA524380:GYH524380 HHW524380:HID524380 HRS524380:HRZ524380 IBO524380:IBV524380 ILK524380:ILR524380 IVG524380:IVN524380 JFC524380:JFJ524380 JOY524380:JPF524380 JYU524380:JZB524380 KIQ524380:KIX524380 KSM524380:KST524380 LCI524380:LCP524380 LME524380:LML524380 LWA524380:LWH524380 MFW524380:MGD524380 MPS524380:MPZ524380 MZO524380:MZV524380 NJK524380:NJR524380 NTG524380:NTN524380 ODC524380:ODJ524380 OMY524380:ONF524380 OWU524380:OXB524380 PGQ524380:PGX524380 PQM524380:PQT524380 QAI524380:QAP524380 QKE524380:QKL524380 QUA524380:QUH524380 RDW524380:RED524380 RNS524380:RNZ524380 RXO524380:RXV524380 SHK524380:SHR524380 SRG524380:SRN524380 TBC524380:TBJ524380 TKY524380:TLF524380 TUU524380:TVB524380 UEQ524380:UEX524380 UOM524380:UOT524380 UYI524380:UYP524380 VIE524380:VIL524380 VSA524380:VSH524380 WBW524380:WCD524380 WLS524380:WLZ524380 WVO524380:WVV524380 G589916:N589916 JC589916:JJ589916 SY589916:TF589916 ACU589916:ADB589916 AMQ589916:AMX589916 AWM589916:AWT589916 BGI589916:BGP589916 BQE589916:BQL589916 CAA589916:CAH589916 CJW589916:CKD589916 CTS589916:CTZ589916 DDO589916:DDV589916 DNK589916:DNR589916 DXG589916:DXN589916 EHC589916:EHJ589916 EQY589916:ERF589916 FAU589916:FBB589916 FKQ589916:FKX589916 FUM589916:FUT589916 GEI589916:GEP589916 GOE589916:GOL589916 GYA589916:GYH589916 HHW589916:HID589916 HRS589916:HRZ589916 IBO589916:IBV589916 ILK589916:ILR589916 IVG589916:IVN589916 JFC589916:JFJ589916 JOY589916:JPF589916 JYU589916:JZB589916 KIQ589916:KIX589916 KSM589916:KST589916 LCI589916:LCP589916 LME589916:LML589916 LWA589916:LWH589916 MFW589916:MGD589916 MPS589916:MPZ589916 MZO589916:MZV589916 NJK589916:NJR589916 NTG589916:NTN589916 ODC589916:ODJ589916 OMY589916:ONF589916 OWU589916:OXB589916 PGQ589916:PGX589916 PQM589916:PQT589916 QAI589916:QAP589916 QKE589916:QKL589916 QUA589916:QUH589916 RDW589916:RED589916 RNS589916:RNZ589916 RXO589916:RXV589916 SHK589916:SHR589916 SRG589916:SRN589916 TBC589916:TBJ589916 TKY589916:TLF589916 TUU589916:TVB589916 UEQ589916:UEX589916 UOM589916:UOT589916 UYI589916:UYP589916 VIE589916:VIL589916 VSA589916:VSH589916 WBW589916:WCD589916 WLS589916:WLZ589916 WVO589916:WVV589916 G655452:N655452 JC655452:JJ655452 SY655452:TF655452 ACU655452:ADB655452 AMQ655452:AMX655452 AWM655452:AWT655452 BGI655452:BGP655452 BQE655452:BQL655452 CAA655452:CAH655452 CJW655452:CKD655452 CTS655452:CTZ655452 DDO655452:DDV655452 DNK655452:DNR655452 DXG655452:DXN655452 EHC655452:EHJ655452 EQY655452:ERF655452 FAU655452:FBB655452 FKQ655452:FKX655452 FUM655452:FUT655452 GEI655452:GEP655452 GOE655452:GOL655452 GYA655452:GYH655452 HHW655452:HID655452 HRS655452:HRZ655452 IBO655452:IBV655452 ILK655452:ILR655452 IVG655452:IVN655452 JFC655452:JFJ655452 JOY655452:JPF655452 JYU655452:JZB655452 KIQ655452:KIX655452 KSM655452:KST655452 LCI655452:LCP655452 LME655452:LML655452 LWA655452:LWH655452 MFW655452:MGD655452 MPS655452:MPZ655452 MZO655452:MZV655452 NJK655452:NJR655452 NTG655452:NTN655452 ODC655452:ODJ655452 OMY655452:ONF655452 OWU655452:OXB655452 PGQ655452:PGX655452 PQM655452:PQT655452 QAI655452:QAP655452 QKE655452:QKL655452 QUA655452:QUH655452 RDW655452:RED655452 RNS655452:RNZ655452 RXO655452:RXV655452 SHK655452:SHR655452 SRG655452:SRN655452 TBC655452:TBJ655452 TKY655452:TLF655452 TUU655452:TVB655452 UEQ655452:UEX655452 UOM655452:UOT655452 UYI655452:UYP655452 VIE655452:VIL655452 VSA655452:VSH655452 WBW655452:WCD655452 WLS655452:WLZ655452 WVO655452:WVV655452 G720988:N720988 JC720988:JJ720988 SY720988:TF720988 ACU720988:ADB720988 AMQ720988:AMX720988 AWM720988:AWT720988 BGI720988:BGP720988 BQE720988:BQL720988 CAA720988:CAH720988 CJW720988:CKD720988 CTS720988:CTZ720988 DDO720988:DDV720988 DNK720988:DNR720988 DXG720988:DXN720988 EHC720988:EHJ720988 EQY720988:ERF720988 FAU720988:FBB720988 FKQ720988:FKX720988 FUM720988:FUT720988 GEI720988:GEP720988 GOE720988:GOL720988 GYA720988:GYH720988 HHW720988:HID720988 HRS720988:HRZ720988 IBO720988:IBV720988 ILK720988:ILR720988 IVG720988:IVN720988 JFC720988:JFJ720988 JOY720988:JPF720988 JYU720988:JZB720988 KIQ720988:KIX720988 KSM720988:KST720988 LCI720988:LCP720988 LME720988:LML720988 LWA720988:LWH720988 MFW720988:MGD720988 MPS720988:MPZ720988 MZO720988:MZV720988 NJK720988:NJR720988 NTG720988:NTN720988 ODC720988:ODJ720988 OMY720988:ONF720988 OWU720988:OXB720988 PGQ720988:PGX720988 PQM720988:PQT720988 QAI720988:QAP720988 QKE720988:QKL720988 QUA720988:QUH720988 RDW720988:RED720988 RNS720988:RNZ720988 RXO720988:RXV720988 SHK720988:SHR720988 SRG720988:SRN720988 TBC720988:TBJ720988 TKY720988:TLF720988 TUU720988:TVB720988 UEQ720988:UEX720988 UOM720988:UOT720988 UYI720988:UYP720988 VIE720988:VIL720988 VSA720988:VSH720988 WBW720988:WCD720988 WLS720988:WLZ720988 WVO720988:WVV720988 G786524:N786524 JC786524:JJ786524 SY786524:TF786524 ACU786524:ADB786524 AMQ786524:AMX786524 AWM786524:AWT786524 BGI786524:BGP786524 BQE786524:BQL786524 CAA786524:CAH786524 CJW786524:CKD786524 CTS786524:CTZ786524 DDO786524:DDV786524 DNK786524:DNR786524 DXG786524:DXN786524 EHC786524:EHJ786524 EQY786524:ERF786524 FAU786524:FBB786524 FKQ786524:FKX786524 FUM786524:FUT786524 GEI786524:GEP786524 GOE786524:GOL786524 GYA786524:GYH786524 HHW786524:HID786524 HRS786524:HRZ786524 IBO786524:IBV786524 ILK786524:ILR786524 IVG786524:IVN786524 JFC786524:JFJ786524 JOY786524:JPF786524 JYU786524:JZB786524 KIQ786524:KIX786524 KSM786524:KST786524 LCI786524:LCP786524 LME786524:LML786524 LWA786524:LWH786524 MFW786524:MGD786524 MPS786524:MPZ786524 MZO786524:MZV786524 NJK786524:NJR786524 NTG786524:NTN786524 ODC786524:ODJ786524 OMY786524:ONF786524 OWU786524:OXB786524 PGQ786524:PGX786524 PQM786524:PQT786524 QAI786524:QAP786524 QKE786524:QKL786524 QUA786524:QUH786524 RDW786524:RED786524 RNS786524:RNZ786524 RXO786524:RXV786524 SHK786524:SHR786524 SRG786524:SRN786524 TBC786524:TBJ786524 TKY786524:TLF786524 TUU786524:TVB786524 UEQ786524:UEX786524 UOM786524:UOT786524 UYI786524:UYP786524 VIE786524:VIL786524 VSA786524:VSH786524 WBW786524:WCD786524 WLS786524:WLZ786524 WVO786524:WVV786524 G852060:N852060 JC852060:JJ852060 SY852060:TF852060 ACU852060:ADB852060 AMQ852060:AMX852060 AWM852060:AWT852060 BGI852060:BGP852060 BQE852060:BQL852060 CAA852060:CAH852060 CJW852060:CKD852060 CTS852060:CTZ852060 DDO852060:DDV852060 DNK852060:DNR852060 DXG852060:DXN852060 EHC852060:EHJ852060 EQY852060:ERF852060 FAU852060:FBB852060 FKQ852060:FKX852060 FUM852060:FUT852060 GEI852060:GEP852060 GOE852060:GOL852060 GYA852060:GYH852060 HHW852060:HID852060 HRS852060:HRZ852060 IBO852060:IBV852060 ILK852060:ILR852060 IVG852060:IVN852060 JFC852060:JFJ852060 JOY852060:JPF852060 JYU852060:JZB852060 KIQ852060:KIX852060 KSM852060:KST852060 LCI852060:LCP852060 LME852060:LML852060 LWA852060:LWH852060 MFW852060:MGD852060 MPS852060:MPZ852060 MZO852060:MZV852060 NJK852060:NJR852060 NTG852060:NTN852060 ODC852060:ODJ852060 OMY852060:ONF852060 OWU852060:OXB852060 PGQ852060:PGX852060 PQM852060:PQT852060 QAI852060:QAP852060 QKE852060:QKL852060 QUA852060:QUH852060 RDW852060:RED852060 RNS852060:RNZ852060 RXO852060:RXV852060 SHK852060:SHR852060 SRG852060:SRN852060 TBC852060:TBJ852060 TKY852060:TLF852060 TUU852060:TVB852060 UEQ852060:UEX852060 UOM852060:UOT852060 UYI852060:UYP852060 VIE852060:VIL852060 VSA852060:VSH852060 WBW852060:WCD852060 WLS852060:WLZ852060 WVO852060:WVV852060 G917596:N917596 JC917596:JJ917596 SY917596:TF917596 ACU917596:ADB917596 AMQ917596:AMX917596 AWM917596:AWT917596 BGI917596:BGP917596 BQE917596:BQL917596 CAA917596:CAH917596 CJW917596:CKD917596 CTS917596:CTZ917596 DDO917596:DDV917596 DNK917596:DNR917596 DXG917596:DXN917596 EHC917596:EHJ917596 EQY917596:ERF917596 FAU917596:FBB917596 FKQ917596:FKX917596 FUM917596:FUT917596 GEI917596:GEP917596 GOE917596:GOL917596 GYA917596:GYH917596 HHW917596:HID917596 HRS917596:HRZ917596 IBO917596:IBV917596 ILK917596:ILR917596 IVG917596:IVN917596 JFC917596:JFJ917596 JOY917596:JPF917596 JYU917596:JZB917596 KIQ917596:KIX917596 KSM917596:KST917596 LCI917596:LCP917596 LME917596:LML917596 LWA917596:LWH917596 MFW917596:MGD917596 MPS917596:MPZ917596 MZO917596:MZV917596 NJK917596:NJR917596 NTG917596:NTN917596 ODC917596:ODJ917596 OMY917596:ONF917596 OWU917596:OXB917596 PGQ917596:PGX917596 PQM917596:PQT917596 QAI917596:QAP917596 QKE917596:QKL917596 QUA917596:QUH917596 RDW917596:RED917596 RNS917596:RNZ917596 RXO917596:RXV917596 SHK917596:SHR917596 SRG917596:SRN917596 TBC917596:TBJ917596 TKY917596:TLF917596 TUU917596:TVB917596 UEQ917596:UEX917596 UOM917596:UOT917596 UYI917596:UYP917596 VIE917596:VIL917596 VSA917596:VSH917596 WBW917596:WCD917596 WLS917596:WLZ917596 WVO917596:WVV917596 G983132:N983132 JC983132:JJ983132 SY983132:TF983132 ACU983132:ADB983132 AMQ983132:AMX983132 AWM983132:AWT983132 BGI983132:BGP983132 BQE983132:BQL983132 CAA983132:CAH983132 CJW983132:CKD983132 CTS983132:CTZ983132 DDO983132:DDV983132 DNK983132:DNR983132 DXG983132:DXN983132 EHC983132:EHJ983132 EQY983132:ERF983132 FAU983132:FBB983132 FKQ983132:FKX983132 FUM983132:FUT983132 GEI983132:GEP983132 GOE983132:GOL983132 GYA983132:GYH983132 HHW983132:HID983132 HRS983132:HRZ983132 IBO983132:IBV983132 ILK983132:ILR983132 IVG983132:IVN983132 JFC983132:JFJ983132 JOY983132:JPF983132 JYU983132:JZB983132 KIQ983132:KIX983132 KSM983132:KST983132 LCI983132:LCP983132 LME983132:LML983132 LWA983132:LWH983132 MFW983132:MGD983132 MPS983132:MPZ983132 MZO983132:MZV983132 NJK983132:NJR983132 NTG983132:NTN983132 ODC983132:ODJ983132 OMY983132:ONF983132 OWU983132:OXB983132 PGQ983132:PGX983132 PQM983132:PQT983132 QAI983132:QAP983132 QKE983132:QKL983132 QUA983132:QUH983132 RDW983132:RED983132 RNS983132:RNZ983132 RXO983132:RXV983132 SHK983132:SHR983132 SRG983132:SRN983132 TBC983132:TBJ983132 TKY983132:TLF983132 TUU983132:TVB983132 UEQ983132:UEX983132 UOM983132:UOT983132 UYI983132:UYP983132 VIE983132:VIL983132 VSA983132:VSH983132 WBW983132:WCD983132 WLS983132:WLZ983132 WVO983132:WVV983132" xr:uid="{00000000-0002-0000-1800-000002000000}">
      <formula1>"駅施設,地上建物"</formula1>
    </dataValidation>
    <dataValidation type="list" allowBlank="1" showInputMessage="1" showErrorMessage="1" sqref="E89:E90 JA89:JA90 SW89:SW90 ACS89:ACS90 AMO89:AMO90 AWK89:AWK90 BGG89:BGG90 BQC89:BQC90 BZY89:BZY90 CJU89:CJU90 CTQ89:CTQ90 DDM89:DDM90 DNI89:DNI90 DXE89:DXE90 EHA89:EHA90 EQW89:EQW90 FAS89:FAS90 FKO89:FKO90 FUK89:FUK90 GEG89:GEG90 GOC89:GOC90 GXY89:GXY90 HHU89:HHU90 HRQ89:HRQ90 IBM89:IBM90 ILI89:ILI90 IVE89:IVE90 JFA89:JFA90 JOW89:JOW90 JYS89:JYS90 KIO89:KIO90 KSK89:KSK90 LCG89:LCG90 LMC89:LMC90 LVY89:LVY90 MFU89:MFU90 MPQ89:MPQ90 MZM89:MZM90 NJI89:NJI90 NTE89:NTE90 ODA89:ODA90 OMW89:OMW90 OWS89:OWS90 PGO89:PGO90 PQK89:PQK90 QAG89:QAG90 QKC89:QKC90 QTY89:QTY90 RDU89:RDU90 RNQ89:RNQ90 RXM89:RXM90 SHI89:SHI90 SRE89:SRE90 TBA89:TBA90 TKW89:TKW90 TUS89:TUS90 UEO89:UEO90 UOK89:UOK90 UYG89:UYG90 VIC89:VIC90 VRY89:VRY90 WBU89:WBU90 WLQ89:WLQ90 WVM89:WVM90 E65625:E65626 JA65625:JA65626 SW65625:SW65626 ACS65625:ACS65626 AMO65625:AMO65626 AWK65625:AWK65626 BGG65625:BGG65626 BQC65625:BQC65626 BZY65625:BZY65626 CJU65625:CJU65626 CTQ65625:CTQ65626 DDM65625:DDM65626 DNI65625:DNI65626 DXE65625:DXE65626 EHA65625:EHA65626 EQW65625:EQW65626 FAS65625:FAS65626 FKO65625:FKO65626 FUK65625:FUK65626 GEG65625:GEG65626 GOC65625:GOC65626 GXY65625:GXY65626 HHU65625:HHU65626 HRQ65625:HRQ65626 IBM65625:IBM65626 ILI65625:ILI65626 IVE65625:IVE65626 JFA65625:JFA65626 JOW65625:JOW65626 JYS65625:JYS65626 KIO65625:KIO65626 KSK65625:KSK65626 LCG65625:LCG65626 LMC65625:LMC65626 LVY65625:LVY65626 MFU65625:MFU65626 MPQ65625:MPQ65626 MZM65625:MZM65626 NJI65625:NJI65626 NTE65625:NTE65626 ODA65625:ODA65626 OMW65625:OMW65626 OWS65625:OWS65626 PGO65625:PGO65626 PQK65625:PQK65626 QAG65625:QAG65626 QKC65625:QKC65626 QTY65625:QTY65626 RDU65625:RDU65626 RNQ65625:RNQ65626 RXM65625:RXM65626 SHI65625:SHI65626 SRE65625:SRE65626 TBA65625:TBA65626 TKW65625:TKW65626 TUS65625:TUS65626 UEO65625:UEO65626 UOK65625:UOK65626 UYG65625:UYG65626 VIC65625:VIC65626 VRY65625:VRY65626 WBU65625:WBU65626 WLQ65625:WLQ65626 WVM65625:WVM65626 E131161:E131162 JA131161:JA131162 SW131161:SW131162 ACS131161:ACS131162 AMO131161:AMO131162 AWK131161:AWK131162 BGG131161:BGG131162 BQC131161:BQC131162 BZY131161:BZY131162 CJU131161:CJU131162 CTQ131161:CTQ131162 DDM131161:DDM131162 DNI131161:DNI131162 DXE131161:DXE131162 EHA131161:EHA131162 EQW131161:EQW131162 FAS131161:FAS131162 FKO131161:FKO131162 FUK131161:FUK131162 GEG131161:GEG131162 GOC131161:GOC131162 GXY131161:GXY131162 HHU131161:HHU131162 HRQ131161:HRQ131162 IBM131161:IBM131162 ILI131161:ILI131162 IVE131161:IVE131162 JFA131161:JFA131162 JOW131161:JOW131162 JYS131161:JYS131162 KIO131161:KIO131162 KSK131161:KSK131162 LCG131161:LCG131162 LMC131161:LMC131162 LVY131161:LVY131162 MFU131161:MFU131162 MPQ131161:MPQ131162 MZM131161:MZM131162 NJI131161:NJI131162 NTE131161:NTE131162 ODA131161:ODA131162 OMW131161:OMW131162 OWS131161:OWS131162 PGO131161:PGO131162 PQK131161:PQK131162 QAG131161:QAG131162 QKC131161:QKC131162 QTY131161:QTY131162 RDU131161:RDU131162 RNQ131161:RNQ131162 RXM131161:RXM131162 SHI131161:SHI131162 SRE131161:SRE131162 TBA131161:TBA131162 TKW131161:TKW131162 TUS131161:TUS131162 UEO131161:UEO131162 UOK131161:UOK131162 UYG131161:UYG131162 VIC131161:VIC131162 VRY131161:VRY131162 WBU131161:WBU131162 WLQ131161:WLQ131162 WVM131161:WVM131162 E196697:E196698 JA196697:JA196698 SW196697:SW196698 ACS196697:ACS196698 AMO196697:AMO196698 AWK196697:AWK196698 BGG196697:BGG196698 BQC196697:BQC196698 BZY196697:BZY196698 CJU196697:CJU196698 CTQ196697:CTQ196698 DDM196697:DDM196698 DNI196697:DNI196698 DXE196697:DXE196698 EHA196697:EHA196698 EQW196697:EQW196698 FAS196697:FAS196698 FKO196697:FKO196698 FUK196697:FUK196698 GEG196697:GEG196698 GOC196697:GOC196698 GXY196697:GXY196698 HHU196697:HHU196698 HRQ196697:HRQ196698 IBM196697:IBM196698 ILI196697:ILI196698 IVE196697:IVE196698 JFA196697:JFA196698 JOW196697:JOW196698 JYS196697:JYS196698 KIO196697:KIO196698 KSK196697:KSK196698 LCG196697:LCG196698 LMC196697:LMC196698 LVY196697:LVY196698 MFU196697:MFU196698 MPQ196697:MPQ196698 MZM196697:MZM196698 NJI196697:NJI196698 NTE196697:NTE196698 ODA196697:ODA196698 OMW196697:OMW196698 OWS196697:OWS196698 PGO196697:PGO196698 PQK196697:PQK196698 QAG196697:QAG196698 QKC196697:QKC196698 QTY196697:QTY196698 RDU196697:RDU196698 RNQ196697:RNQ196698 RXM196697:RXM196698 SHI196697:SHI196698 SRE196697:SRE196698 TBA196697:TBA196698 TKW196697:TKW196698 TUS196697:TUS196698 UEO196697:UEO196698 UOK196697:UOK196698 UYG196697:UYG196698 VIC196697:VIC196698 VRY196697:VRY196698 WBU196697:WBU196698 WLQ196697:WLQ196698 WVM196697:WVM196698 E262233:E262234 JA262233:JA262234 SW262233:SW262234 ACS262233:ACS262234 AMO262233:AMO262234 AWK262233:AWK262234 BGG262233:BGG262234 BQC262233:BQC262234 BZY262233:BZY262234 CJU262233:CJU262234 CTQ262233:CTQ262234 DDM262233:DDM262234 DNI262233:DNI262234 DXE262233:DXE262234 EHA262233:EHA262234 EQW262233:EQW262234 FAS262233:FAS262234 FKO262233:FKO262234 FUK262233:FUK262234 GEG262233:GEG262234 GOC262233:GOC262234 GXY262233:GXY262234 HHU262233:HHU262234 HRQ262233:HRQ262234 IBM262233:IBM262234 ILI262233:ILI262234 IVE262233:IVE262234 JFA262233:JFA262234 JOW262233:JOW262234 JYS262233:JYS262234 KIO262233:KIO262234 KSK262233:KSK262234 LCG262233:LCG262234 LMC262233:LMC262234 LVY262233:LVY262234 MFU262233:MFU262234 MPQ262233:MPQ262234 MZM262233:MZM262234 NJI262233:NJI262234 NTE262233:NTE262234 ODA262233:ODA262234 OMW262233:OMW262234 OWS262233:OWS262234 PGO262233:PGO262234 PQK262233:PQK262234 QAG262233:QAG262234 QKC262233:QKC262234 QTY262233:QTY262234 RDU262233:RDU262234 RNQ262233:RNQ262234 RXM262233:RXM262234 SHI262233:SHI262234 SRE262233:SRE262234 TBA262233:TBA262234 TKW262233:TKW262234 TUS262233:TUS262234 UEO262233:UEO262234 UOK262233:UOK262234 UYG262233:UYG262234 VIC262233:VIC262234 VRY262233:VRY262234 WBU262233:WBU262234 WLQ262233:WLQ262234 WVM262233:WVM262234 E327769:E327770 JA327769:JA327770 SW327769:SW327770 ACS327769:ACS327770 AMO327769:AMO327770 AWK327769:AWK327770 BGG327769:BGG327770 BQC327769:BQC327770 BZY327769:BZY327770 CJU327769:CJU327770 CTQ327769:CTQ327770 DDM327769:DDM327770 DNI327769:DNI327770 DXE327769:DXE327770 EHA327769:EHA327770 EQW327769:EQW327770 FAS327769:FAS327770 FKO327769:FKO327770 FUK327769:FUK327770 GEG327769:GEG327770 GOC327769:GOC327770 GXY327769:GXY327770 HHU327769:HHU327770 HRQ327769:HRQ327770 IBM327769:IBM327770 ILI327769:ILI327770 IVE327769:IVE327770 JFA327769:JFA327770 JOW327769:JOW327770 JYS327769:JYS327770 KIO327769:KIO327770 KSK327769:KSK327770 LCG327769:LCG327770 LMC327769:LMC327770 LVY327769:LVY327770 MFU327769:MFU327770 MPQ327769:MPQ327770 MZM327769:MZM327770 NJI327769:NJI327770 NTE327769:NTE327770 ODA327769:ODA327770 OMW327769:OMW327770 OWS327769:OWS327770 PGO327769:PGO327770 PQK327769:PQK327770 QAG327769:QAG327770 QKC327769:QKC327770 QTY327769:QTY327770 RDU327769:RDU327770 RNQ327769:RNQ327770 RXM327769:RXM327770 SHI327769:SHI327770 SRE327769:SRE327770 TBA327769:TBA327770 TKW327769:TKW327770 TUS327769:TUS327770 UEO327769:UEO327770 UOK327769:UOK327770 UYG327769:UYG327770 VIC327769:VIC327770 VRY327769:VRY327770 WBU327769:WBU327770 WLQ327769:WLQ327770 WVM327769:WVM327770 E393305:E393306 JA393305:JA393306 SW393305:SW393306 ACS393305:ACS393306 AMO393305:AMO393306 AWK393305:AWK393306 BGG393305:BGG393306 BQC393305:BQC393306 BZY393305:BZY393306 CJU393305:CJU393306 CTQ393305:CTQ393306 DDM393305:DDM393306 DNI393305:DNI393306 DXE393305:DXE393306 EHA393305:EHA393306 EQW393305:EQW393306 FAS393305:FAS393306 FKO393305:FKO393306 FUK393305:FUK393306 GEG393305:GEG393306 GOC393305:GOC393306 GXY393305:GXY393306 HHU393305:HHU393306 HRQ393305:HRQ393306 IBM393305:IBM393306 ILI393305:ILI393306 IVE393305:IVE393306 JFA393305:JFA393306 JOW393305:JOW393306 JYS393305:JYS393306 KIO393305:KIO393306 KSK393305:KSK393306 LCG393305:LCG393306 LMC393305:LMC393306 LVY393305:LVY393306 MFU393305:MFU393306 MPQ393305:MPQ393306 MZM393305:MZM393306 NJI393305:NJI393306 NTE393305:NTE393306 ODA393305:ODA393306 OMW393305:OMW393306 OWS393305:OWS393306 PGO393305:PGO393306 PQK393305:PQK393306 QAG393305:QAG393306 QKC393305:QKC393306 QTY393305:QTY393306 RDU393305:RDU393306 RNQ393305:RNQ393306 RXM393305:RXM393306 SHI393305:SHI393306 SRE393305:SRE393306 TBA393305:TBA393306 TKW393305:TKW393306 TUS393305:TUS393306 UEO393305:UEO393306 UOK393305:UOK393306 UYG393305:UYG393306 VIC393305:VIC393306 VRY393305:VRY393306 WBU393305:WBU393306 WLQ393305:WLQ393306 WVM393305:WVM393306 E458841:E458842 JA458841:JA458842 SW458841:SW458842 ACS458841:ACS458842 AMO458841:AMO458842 AWK458841:AWK458842 BGG458841:BGG458842 BQC458841:BQC458842 BZY458841:BZY458842 CJU458841:CJU458842 CTQ458841:CTQ458842 DDM458841:DDM458842 DNI458841:DNI458842 DXE458841:DXE458842 EHA458841:EHA458842 EQW458841:EQW458842 FAS458841:FAS458842 FKO458841:FKO458842 FUK458841:FUK458842 GEG458841:GEG458842 GOC458841:GOC458842 GXY458841:GXY458842 HHU458841:HHU458842 HRQ458841:HRQ458842 IBM458841:IBM458842 ILI458841:ILI458842 IVE458841:IVE458842 JFA458841:JFA458842 JOW458841:JOW458842 JYS458841:JYS458842 KIO458841:KIO458842 KSK458841:KSK458842 LCG458841:LCG458842 LMC458841:LMC458842 LVY458841:LVY458842 MFU458841:MFU458842 MPQ458841:MPQ458842 MZM458841:MZM458842 NJI458841:NJI458842 NTE458841:NTE458842 ODA458841:ODA458842 OMW458841:OMW458842 OWS458841:OWS458842 PGO458841:PGO458842 PQK458841:PQK458842 QAG458841:QAG458842 QKC458841:QKC458842 QTY458841:QTY458842 RDU458841:RDU458842 RNQ458841:RNQ458842 RXM458841:RXM458842 SHI458841:SHI458842 SRE458841:SRE458842 TBA458841:TBA458842 TKW458841:TKW458842 TUS458841:TUS458842 UEO458841:UEO458842 UOK458841:UOK458842 UYG458841:UYG458842 VIC458841:VIC458842 VRY458841:VRY458842 WBU458841:WBU458842 WLQ458841:WLQ458842 WVM458841:WVM458842 E524377:E524378 JA524377:JA524378 SW524377:SW524378 ACS524377:ACS524378 AMO524377:AMO524378 AWK524377:AWK524378 BGG524377:BGG524378 BQC524377:BQC524378 BZY524377:BZY524378 CJU524377:CJU524378 CTQ524377:CTQ524378 DDM524377:DDM524378 DNI524377:DNI524378 DXE524377:DXE524378 EHA524377:EHA524378 EQW524377:EQW524378 FAS524377:FAS524378 FKO524377:FKO524378 FUK524377:FUK524378 GEG524377:GEG524378 GOC524377:GOC524378 GXY524377:GXY524378 HHU524377:HHU524378 HRQ524377:HRQ524378 IBM524377:IBM524378 ILI524377:ILI524378 IVE524377:IVE524378 JFA524377:JFA524378 JOW524377:JOW524378 JYS524377:JYS524378 KIO524377:KIO524378 KSK524377:KSK524378 LCG524377:LCG524378 LMC524377:LMC524378 LVY524377:LVY524378 MFU524377:MFU524378 MPQ524377:MPQ524378 MZM524377:MZM524378 NJI524377:NJI524378 NTE524377:NTE524378 ODA524377:ODA524378 OMW524377:OMW524378 OWS524377:OWS524378 PGO524377:PGO524378 PQK524377:PQK524378 QAG524377:QAG524378 QKC524377:QKC524378 QTY524377:QTY524378 RDU524377:RDU524378 RNQ524377:RNQ524378 RXM524377:RXM524378 SHI524377:SHI524378 SRE524377:SRE524378 TBA524377:TBA524378 TKW524377:TKW524378 TUS524377:TUS524378 UEO524377:UEO524378 UOK524377:UOK524378 UYG524377:UYG524378 VIC524377:VIC524378 VRY524377:VRY524378 WBU524377:WBU524378 WLQ524377:WLQ524378 WVM524377:WVM524378 E589913:E589914 JA589913:JA589914 SW589913:SW589914 ACS589913:ACS589914 AMO589913:AMO589914 AWK589913:AWK589914 BGG589913:BGG589914 BQC589913:BQC589914 BZY589913:BZY589914 CJU589913:CJU589914 CTQ589913:CTQ589914 DDM589913:DDM589914 DNI589913:DNI589914 DXE589913:DXE589914 EHA589913:EHA589914 EQW589913:EQW589914 FAS589913:FAS589914 FKO589913:FKO589914 FUK589913:FUK589914 GEG589913:GEG589914 GOC589913:GOC589914 GXY589913:GXY589914 HHU589913:HHU589914 HRQ589913:HRQ589914 IBM589913:IBM589914 ILI589913:ILI589914 IVE589913:IVE589914 JFA589913:JFA589914 JOW589913:JOW589914 JYS589913:JYS589914 KIO589913:KIO589914 KSK589913:KSK589914 LCG589913:LCG589914 LMC589913:LMC589914 LVY589913:LVY589914 MFU589913:MFU589914 MPQ589913:MPQ589914 MZM589913:MZM589914 NJI589913:NJI589914 NTE589913:NTE589914 ODA589913:ODA589914 OMW589913:OMW589914 OWS589913:OWS589914 PGO589913:PGO589914 PQK589913:PQK589914 QAG589913:QAG589914 QKC589913:QKC589914 QTY589913:QTY589914 RDU589913:RDU589914 RNQ589913:RNQ589914 RXM589913:RXM589914 SHI589913:SHI589914 SRE589913:SRE589914 TBA589913:TBA589914 TKW589913:TKW589914 TUS589913:TUS589914 UEO589913:UEO589914 UOK589913:UOK589914 UYG589913:UYG589914 VIC589913:VIC589914 VRY589913:VRY589914 WBU589913:WBU589914 WLQ589913:WLQ589914 WVM589913:WVM589914 E655449:E655450 JA655449:JA655450 SW655449:SW655450 ACS655449:ACS655450 AMO655449:AMO655450 AWK655449:AWK655450 BGG655449:BGG655450 BQC655449:BQC655450 BZY655449:BZY655450 CJU655449:CJU655450 CTQ655449:CTQ655450 DDM655449:DDM655450 DNI655449:DNI655450 DXE655449:DXE655450 EHA655449:EHA655450 EQW655449:EQW655450 FAS655449:FAS655450 FKO655449:FKO655450 FUK655449:FUK655450 GEG655449:GEG655450 GOC655449:GOC655450 GXY655449:GXY655450 HHU655449:HHU655450 HRQ655449:HRQ655450 IBM655449:IBM655450 ILI655449:ILI655450 IVE655449:IVE655450 JFA655449:JFA655450 JOW655449:JOW655450 JYS655449:JYS655450 KIO655449:KIO655450 KSK655449:KSK655450 LCG655449:LCG655450 LMC655449:LMC655450 LVY655449:LVY655450 MFU655449:MFU655450 MPQ655449:MPQ655450 MZM655449:MZM655450 NJI655449:NJI655450 NTE655449:NTE655450 ODA655449:ODA655450 OMW655449:OMW655450 OWS655449:OWS655450 PGO655449:PGO655450 PQK655449:PQK655450 QAG655449:QAG655450 QKC655449:QKC655450 QTY655449:QTY655450 RDU655449:RDU655450 RNQ655449:RNQ655450 RXM655449:RXM655450 SHI655449:SHI655450 SRE655449:SRE655450 TBA655449:TBA655450 TKW655449:TKW655450 TUS655449:TUS655450 UEO655449:UEO655450 UOK655449:UOK655450 UYG655449:UYG655450 VIC655449:VIC655450 VRY655449:VRY655450 WBU655449:WBU655450 WLQ655449:WLQ655450 WVM655449:WVM655450 E720985:E720986 JA720985:JA720986 SW720985:SW720986 ACS720985:ACS720986 AMO720985:AMO720986 AWK720985:AWK720986 BGG720985:BGG720986 BQC720985:BQC720986 BZY720985:BZY720986 CJU720985:CJU720986 CTQ720985:CTQ720986 DDM720985:DDM720986 DNI720985:DNI720986 DXE720985:DXE720986 EHA720985:EHA720986 EQW720985:EQW720986 FAS720985:FAS720986 FKO720985:FKO720986 FUK720985:FUK720986 GEG720985:GEG720986 GOC720985:GOC720986 GXY720985:GXY720986 HHU720985:HHU720986 HRQ720985:HRQ720986 IBM720985:IBM720986 ILI720985:ILI720986 IVE720985:IVE720986 JFA720985:JFA720986 JOW720985:JOW720986 JYS720985:JYS720986 KIO720985:KIO720986 KSK720985:KSK720986 LCG720985:LCG720986 LMC720985:LMC720986 LVY720985:LVY720986 MFU720985:MFU720986 MPQ720985:MPQ720986 MZM720985:MZM720986 NJI720985:NJI720986 NTE720985:NTE720986 ODA720985:ODA720986 OMW720985:OMW720986 OWS720985:OWS720986 PGO720985:PGO720986 PQK720985:PQK720986 QAG720985:QAG720986 QKC720985:QKC720986 QTY720985:QTY720986 RDU720985:RDU720986 RNQ720985:RNQ720986 RXM720985:RXM720986 SHI720985:SHI720986 SRE720985:SRE720986 TBA720985:TBA720986 TKW720985:TKW720986 TUS720985:TUS720986 UEO720985:UEO720986 UOK720985:UOK720986 UYG720985:UYG720986 VIC720985:VIC720986 VRY720985:VRY720986 WBU720985:WBU720986 WLQ720985:WLQ720986 WVM720985:WVM720986 E786521:E786522 JA786521:JA786522 SW786521:SW786522 ACS786521:ACS786522 AMO786521:AMO786522 AWK786521:AWK786522 BGG786521:BGG786522 BQC786521:BQC786522 BZY786521:BZY786522 CJU786521:CJU786522 CTQ786521:CTQ786522 DDM786521:DDM786522 DNI786521:DNI786522 DXE786521:DXE786522 EHA786521:EHA786522 EQW786521:EQW786522 FAS786521:FAS786522 FKO786521:FKO786522 FUK786521:FUK786522 GEG786521:GEG786522 GOC786521:GOC786522 GXY786521:GXY786522 HHU786521:HHU786522 HRQ786521:HRQ786522 IBM786521:IBM786522 ILI786521:ILI786522 IVE786521:IVE786522 JFA786521:JFA786522 JOW786521:JOW786522 JYS786521:JYS786522 KIO786521:KIO786522 KSK786521:KSK786522 LCG786521:LCG786522 LMC786521:LMC786522 LVY786521:LVY786522 MFU786521:MFU786522 MPQ786521:MPQ786522 MZM786521:MZM786522 NJI786521:NJI786522 NTE786521:NTE786522 ODA786521:ODA786522 OMW786521:OMW786522 OWS786521:OWS786522 PGO786521:PGO786522 PQK786521:PQK786522 QAG786521:QAG786522 QKC786521:QKC786522 QTY786521:QTY786522 RDU786521:RDU786522 RNQ786521:RNQ786522 RXM786521:RXM786522 SHI786521:SHI786522 SRE786521:SRE786522 TBA786521:TBA786522 TKW786521:TKW786522 TUS786521:TUS786522 UEO786521:UEO786522 UOK786521:UOK786522 UYG786521:UYG786522 VIC786521:VIC786522 VRY786521:VRY786522 WBU786521:WBU786522 WLQ786521:WLQ786522 WVM786521:WVM786522 E852057:E852058 JA852057:JA852058 SW852057:SW852058 ACS852057:ACS852058 AMO852057:AMO852058 AWK852057:AWK852058 BGG852057:BGG852058 BQC852057:BQC852058 BZY852057:BZY852058 CJU852057:CJU852058 CTQ852057:CTQ852058 DDM852057:DDM852058 DNI852057:DNI852058 DXE852057:DXE852058 EHA852057:EHA852058 EQW852057:EQW852058 FAS852057:FAS852058 FKO852057:FKO852058 FUK852057:FUK852058 GEG852057:GEG852058 GOC852057:GOC852058 GXY852057:GXY852058 HHU852057:HHU852058 HRQ852057:HRQ852058 IBM852057:IBM852058 ILI852057:ILI852058 IVE852057:IVE852058 JFA852057:JFA852058 JOW852057:JOW852058 JYS852057:JYS852058 KIO852057:KIO852058 KSK852057:KSK852058 LCG852057:LCG852058 LMC852057:LMC852058 LVY852057:LVY852058 MFU852057:MFU852058 MPQ852057:MPQ852058 MZM852057:MZM852058 NJI852057:NJI852058 NTE852057:NTE852058 ODA852057:ODA852058 OMW852057:OMW852058 OWS852057:OWS852058 PGO852057:PGO852058 PQK852057:PQK852058 QAG852057:QAG852058 QKC852057:QKC852058 QTY852057:QTY852058 RDU852057:RDU852058 RNQ852057:RNQ852058 RXM852057:RXM852058 SHI852057:SHI852058 SRE852057:SRE852058 TBA852057:TBA852058 TKW852057:TKW852058 TUS852057:TUS852058 UEO852057:UEO852058 UOK852057:UOK852058 UYG852057:UYG852058 VIC852057:VIC852058 VRY852057:VRY852058 WBU852057:WBU852058 WLQ852057:WLQ852058 WVM852057:WVM852058 E917593:E917594 JA917593:JA917594 SW917593:SW917594 ACS917593:ACS917594 AMO917593:AMO917594 AWK917593:AWK917594 BGG917593:BGG917594 BQC917593:BQC917594 BZY917593:BZY917594 CJU917593:CJU917594 CTQ917593:CTQ917594 DDM917593:DDM917594 DNI917593:DNI917594 DXE917593:DXE917594 EHA917593:EHA917594 EQW917593:EQW917594 FAS917593:FAS917594 FKO917593:FKO917594 FUK917593:FUK917594 GEG917593:GEG917594 GOC917593:GOC917594 GXY917593:GXY917594 HHU917593:HHU917594 HRQ917593:HRQ917594 IBM917593:IBM917594 ILI917593:ILI917594 IVE917593:IVE917594 JFA917593:JFA917594 JOW917593:JOW917594 JYS917593:JYS917594 KIO917593:KIO917594 KSK917593:KSK917594 LCG917593:LCG917594 LMC917593:LMC917594 LVY917593:LVY917594 MFU917593:MFU917594 MPQ917593:MPQ917594 MZM917593:MZM917594 NJI917593:NJI917594 NTE917593:NTE917594 ODA917593:ODA917594 OMW917593:OMW917594 OWS917593:OWS917594 PGO917593:PGO917594 PQK917593:PQK917594 QAG917593:QAG917594 QKC917593:QKC917594 QTY917593:QTY917594 RDU917593:RDU917594 RNQ917593:RNQ917594 RXM917593:RXM917594 SHI917593:SHI917594 SRE917593:SRE917594 TBA917593:TBA917594 TKW917593:TKW917594 TUS917593:TUS917594 UEO917593:UEO917594 UOK917593:UOK917594 UYG917593:UYG917594 VIC917593:VIC917594 VRY917593:VRY917594 WBU917593:WBU917594 WLQ917593:WLQ917594 WVM917593:WVM917594 E983129:E983130 JA983129:JA983130 SW983129:SW983130 ACS983129:ACS983130 AMO983129:AMO983130 AWK983129:AWK983130 BGG983129:BGG983130 BQC983129:BQC983130 BZY983129:BZY983130 CJU983129:CJU983130 CTQ983129:CTQ983130 DDM983129:DDM983130 DNI983129:DNI983130 DXE983129:DXE983130 EHA983129:EHA983130 EQW983129:EQW983130 FAS983129:FAS983130 FKO983129:FKO983130 FUK983129:FUK983130 GEG983129:GEG983130 GOC983129:GOC983130 GXY983129:GXY983130 HHU983129:HHU983130 HRQ983129:HRQ983130 IBM983129:IBM983130 ILI983129:ILI983130 IVE983129:IVE983130 JFA983129:JFA983130 JOW983129:JOW983130 JYS983129:JYS983130 KIO983129:KIO983130 KSK983129:KSK983130 LCG983129:LCG983130 LMC983129:LMC983130 LVY983129:LVY983130 MFU983129:MFU983130 MPQ983129:MPQ983130 MZM983129:MZM983130 NJI983129:NJI983130 NTE983129:NTE983130 ODA983129:ODA983130 OMW983129:OMW983130 OWS983129:OWS983130 PGO983129:PGO983130 PQK983129:PQK983130 QAG983129:QAG983130 QKC983129:QKC983130 QTY983129:QTY983130 RDU983129:RDU983130 RNQ983129:RNQ983130 RXM983129:RXM983130 SHI983129:SHI983130 SRE983129:SRE983130 TBA983129:TBA983130 TKW983129:TKW983130 TUS983129:TUS983130 UEO983129:UEO983130 UOK983129:UOK983130 UYG983129:UYG983130 VIC983129:VIC983130 VRY983129:VRY983130 WBU983129:WBU983130 WLQ983129:WLQ983130 WVM983129:WVM983130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3:K93 JC93:JG93 SY93:TC93 ACU93:ACY93 AMQ93:AMU93 AWM93:AWQ93 BGI93:BGM93 BQE93:BQI93 CAA93:CAE93 CJW93:CKA93 CTS93:CTW93 DDO93:DDS93 DNK93:DNO93 DXG93:DXK93 EHC93:EHG93 EQY93:ERC93 FAU93:FAY93 FKQ93:FKU93 FUM93:FUQ93 GEI93:GEM93 GOE93:GOI93 GYA93:GYE93 HHW93:HIA93 HRS93:HRW93 IBO93:IBS93 ILK93:ILO93 IVG93:IVK93 JFC93:JFG93 JOY93:JPC93 JYU93:JYY93 KIQ93:KIU93 KSM93:KSQ93 LCI93:LCM93 LME93:LMI93 LWA93:LWE93 MFW93:MGA93 MPS93:MPW93 MZO93:MZS93 NJK93:NJO93 NTG93:NTK93 ODC93:ODG93 OMY93:ONC93 OWU93:OWY93 PGQ93:PGU93 PQM93:PQQ93 QAI93:QAM93 QKE93:QKI93 QUA93:QUE93 RDW93:REA93 RNS93:RNW93 RXO93:RXS93 SHK93:SHO93 SRG93:SRK93 TBC93:TBG93 TKY93:TLC93 TUU93:TUY93 UEQ93:UEU93 UOM93:UOQ93 UYI93:UYM93 VIE93:VII93 VSA93:VSE93 WBW93:WCA93 WLS93:WLW93 WVO93:WVS93 G65629:K65629 JC65629:JG65629 SY65629:TC65629 ACU65629:ACY65629 AMQ65629:AMU65629 AWM65629:AWQ65629 BGI65629:BGM65629 BQE65629:BQI65629 CAA65629:CAE65629 CJW65629:CKA65629 CTS65629:CTW65629 DDO65629:DDS65629 DNK65629:DNO65629 DXG65629:DXK65629 EHC65629:EHG65629 EQY65629:ERC65629 FAU65629:FAY65629 FKQ65629:FKU65629 FUM65629:FUQ65629 GEI65629:GEM65629 GOE65629:GOI65629 GYA65629:GYE65629 HHW65629:HIA65629 HRS65629:HRW65629 IBO65629:IBS65629 ILK65629:ILO65629 IVG65629:IVK65629 JFC65629:JFG65629 JOY65629:JPC65629 JYU65629:JYY65629 KIQ65629:KIU65629 KSM65629:KSQ65629 LCI65629:LCM65629 LME65629:LMI65629 LWA65629:LWE65629 MFW65629:MGA65629 MPS65629:MPW65629 MZO65629:MZS65629 NJK65629:NJO65629 NTG65629:NTK65629 ODC65629:ODG65629 OMY65629:ONC65629 OWU65629:OWY65629 PGQ65629:PGU65629 PQM65629:PQQ65629 QAI65629:QAM65629 QKE65629:QKI65629 QUA65629:QUE65629 RDW65629:REA65629 RNS65629:RNW65629 RXO65629:RXS65629 SHK65629:SHO65629 SRG65629:SRK65629 TBC65629:TBG65629 TKY65629:TLC65629 TUU65629:TUY65629 UEQ65629:UEU65629 UOM65629:UOQ65629 UYI65629:UYM65629 VIE65629:VII65629 VSA65629:VSE65629 WBW65629:WCA65629 WLS65629:WLW65629 WVO65629:WVS65629 G131165:K131165 JC131165:JG131165 SY131165:TC131165 ACU131165:ACY131165 AMQ131165:AMU131165 AWM131165:AWQ131165 BGI131165:BGM131165 BQE131165:BQI131165 CAA131165:CAE131165 CJW131165:CKA131165 CTS131165:CTW131165 DDO131165:DDS131165 DNK131165:DNO131165 DXG131165:DXK131165 EHC131165:EHG131165 EQY131165:ERC131165 FAU131165:FAY131165 FKQ131165:FKU131165 FUM131165:FUQ131165 GEI131165:GEM131165 GOE131165:GOI131165 GYA131165:GYE131165 HHW131165:HIA131165 HRS131165:HRW131165 IBO131165:IBS131165 ILK131165:ILO131165 IVG131165:IVK131165 JFC131165:JFG131165 JOY131165:JPC131165 JYU131165:JYY131165 KIQ131165:KIU131165 KSM131165:KSQ131165 LCI131165:LCM131165 LME131165:LMI131165 LWA131165:LWE131165 MFW131165:MGA131165 MPS131165:MPW131165 MZO131165:MZS131165 NJK131165:NJO131165 NTG131165:NTK131165 ODC131165:ODG131165 OMY131165:ONC131165 OWU131165:OWY131165 PGQ131165:PGU131165 PQM131165:PQQ131165 QAI131165:QAM131165 QKE131165:QKI131165 QUA131165:QUE131165 RDW131165:REA131165 RNS131165:RNW131165 RXO131165:RXS131165 SHK131165:SHO131165 SRG131165:SRK131165 TBC131165:TBG131165 TKY131165:TLC131165 TUU131165:TUY131165 UEQ131165:UEU131165 UOM131165:UOQ131165 UYI131165:UYM131165 VIE131165:VII131165 VSA131165:VSE131165 WBW131165:WCA131165 WLS131165:WLW131165 WVO131165:WVS131165 G196701:K196701 JC196701:JG196701 SY196701:TC196701 ACU196701:ACY196701 AMQ196701:AMU196701 AWM196701:AWQ196701 BGI196701:BGM196701 BQE196701:BQI196701 CAA196701:CAE196701 CJW196701:CKA196701 CTS196701:CTW196701 DDO196701:DDS196701 DNK196701:DNO196701 DXG196701:DXK196701 EHC196701:EHG196701 EQY196701:ERC196701 FAU196701:FAY196701 FKQ196701:FKU196701 FUM196701:FUQ196701 GEI196701:GEM196701 GOE196701:GOI196701 GYA196701:GYE196701 HHW196701:HIA196701 HRS196701:HRW196701 IBO196701:IBS196701 ILK196701:ILO196701 IVG196701:IVK196701 JFC196701:JFG196701 JOY196701:JPC196701 JYU196701:JYY196701 KIQ196701:KIU196701 KSM196701:KSQ196701 LCI196701:LCM196701 LME196701:LMI196701 LWA196701:LWE196701 MFW196701:MGA196701 MPS196701:MPW196701 MZO196701:MZS196701 NJK196701:NJO196701 NTG196701:NTK196701 ODC196701:ODG196701 OMY196701:ONC196701 OWU196701:OWY196701 PGQ196701:PGU196701 PQM196701:PQQ196701 QAI196701:QAM196701 QKE196701:QKI196701 QUA196701:QUE196701 RDW196701:REA196701 RNS196701:RNW196701 RXO196701:RXS196701 SHK196701:SHO196701 SRG196701:SRK196701 TBC196701:TBG196701 TKY196701:TLC196701 TUU196701:TUY196701 UEQ196701:UEU196701 UOM196701:UOQ196701 UYI196701:UYM196701 VIE196701:VII196701 VSA196701:VSE196701 WBW196701:WCA196701 WLS196701:WLW196701 WVO196701:WVS196701 G262237:K262237 JC262237:JG262237 SY262237:TC262237 ACU262237:ACY262237 AMQ262237:AMU262237 AWM262237:AWQ262237 BGI262237:BGM262237 BQE262237:BQI262237 CAA262237:CAE262237 CJW262237:CKA262237 CTS262237:CTW262237 DDO262237:DDS262237 DNK262237:DNO262237 DXG262237:DXK262237 EHC262237:EHG262237 EQY262237:ERC262237 FAU262237:FAY262237 FKQ262237:FKU262237 FUM262237:FUQ262237 GEI262237:GEM262237 GOE262237:GOI262237 GYA262237:GYE262237 HHW262237:HIA262237 HRS262237:HRW262237 IBO262237:IBS262237 ILK262237:ILO262237 IVG262237:IVK262237 JFC262237:JFG262237 JOY262237:JPC262237 JYU262237:JYY262237 KIQ262237:KIU262237 KSM262237:KSQ262237 LCI262237:LCM262237 LME262237:LMI262237 LWA262237:LWE262237 MFW262237:MGA262237 MPS262237:MPW262237 MZO262237:MZS262237 NJK262237:NJO262237 NTG262237:NTK262237 ODC262237:ODG262237 OMY262237:ONC262237 OWU262237:OWY262237 PGQ262237:PGU262237 PQM262237:PQQ262237 QAI262237:QAM262237 QKE262237:QKI262237 QUA262237:QUE262237 RDW262237:REA262237 RNS262237:RNW262237 RXO262237:RXS262237 SHK262237:SHO262237 SRG262237:SRK262237 TBC262237:TBG262237 TKY262237:TLC262237 TUU262237:TUY262237 UEQ262237:UEU262237 UOM262237:UOQ262237 UYI262237:UYM262237 VIE262237:VII262237 VSA262237:VSE262237 WBW262237:WCA262237 WLS262237:WLW262237 WVO262237:WVS262237 G327773:K327773 JC327773:JG327773 SY327773:TC327773 ACU327773:ACY327773 AMQ327773:AMU327773 AWM327773:AWQ327773 BGI327773:BGM327773 BQE327773:BQI327773 CAA327773:CAE327773 CJW327773:CKA327773 CTS327773:CTW327773 DDO327773:DDS327773 DNK327773:DNO327773 DXG327773:DXK327773 EHC327773:EHG327773 EQY327773:ERC327773 FAU327773:FAY327773 FKQ327773:FKU327773 FUM327773:FUQ327773 GEI327773:GEM327773 GOE327773:GOI327773 GYA327773:GYE327773 HHW327773:HIA327773 HRS327773:HRW327773 IBO327773:IBS327773 ILK327773:ILO327773 IVG327773:IVK327773 JFC327773:JFG327773 JOY327773:JPC327773 JYU327773:JYY327773 KIQ327773:KIU327773 KSM327773:KSQ327773 LCI327773:LCM327773 LME327773:LMI327773 LWA327773:LWE327773 MFW327773:MGA327773 MPS327773:MPW327773 MZO327773:MZS327773 NJK327773:NJO327773 NTG327773:NTK327773 ODC327773:ODG327773 OMY327773:ONC327773 OWU327773:OWY327773 PGQ327773:PGU327773 PQM327773:PQQ327773 QAI327773:QAM327773 QKE327773:QKI327773 QUA327773:QUE327773 RDW327773:REA327773 RNS327773:RNW327773 RXO327773:RXS327773 SHK327773:SHO327773 SRG327773:SRK327773 TBC327773:TBG327773 TKY327773:TLC327773 TUU327773:TUY327773 UEQ327773:UEU327773 UOM327773:UOQ327773 UYI327773:UYM327773 VIE327773:VII327773 VSA327773:VSE327773 WBW327773:WCA327773 WLS327773:WLW327773 WVO327773:WVS327773 G393309:K393309 JC393309:JG393309 SY393309:TC393309 ACU393309:ACY393309 AMQ393309:AMU393309 AWM393309:AWQ393309 BGI393309:BGM393309 BQE393309:BQI393309 CAA393309:CAE393309 CJW393309:CKA393309 CTS393309:CTW393309 DDO393309:DDS393309 DNK393309:DNO393309 DXG393309:DXK393309 EHC393309:EHG393309 EQY393309:ERC393309 FAU393309:FAY393309 FKQ393309:FKU393309 FUM393309:FUQ393309 GEI393309:GEM393309 GOE393309:GOI393309 GYA393309:GYE393309 HHW393309:HIA393309 HRS393309:HRW393309 IBO393309:IBS393309 ILK393309:ILO393309 IVG393309:IVK393309 JFC393309:JFG393309 JOY393309:JPC393309 JYU393309:JYY393309 KIQ393309:KIU393309 KSM393309:KSQ393309 LCI393309:LCM393309 LME393309:LMI393309 LWA393309:LWE393309 MFW393309:MGA393309 MPS393309:MPW393309 MZO393309:MZS393309 NJK393309:NJO393309 NTG393309:NTK393309 ODC393309:ODG393309 OMY393309:ONC393309 OWU393309:OWY393309 PGQ393309:PGU393309 PQM393309:PQQ393309 QAI393309:QAM393309 QKE393309:QKI393309 QUA393309:QUE393309 RDW393309:REA393309 RNS393309:RNW393309 RXO393309:RXS393309 SHK393309:SHO393309 SRG393309:SRK393309 TBC393309:TBG393309 TKY393309:TLC393309 TUU393309:TUY393309 UEQ393309:UEU393309 UOM393309:UOQ393309 UYI393309:UYM393309 VIE393309:VII393309 VSA393309:VSE393309 WBW393309:WCA393309 WLS393309:WLW393309 WVO393309:WVS393309 G458845:K458845 JC458845:JG458845 SY458845:TC458845 ACU458845:ACY458845 AMQ458845:AMU458845 AWM458845:AWQ458845 BGI458845:BGM458845 BQE458845:BQI458845 CAA458845:CAE458845 CJW458845:CKA458845 CTS458845:CTW458845 DDO458845:DDS458845 DNK458845:DNO458845 DXG458845:DXK458845 EHC458845:EHG458845 EQY458845:ERC458845 FAU458845:FAY458845 FKQ458845:FKU458845 FUM458845:FUQ458845 GEI458845:GEM458845 GOE458845:GOI458845 GYA458845:GYE458845 HHW458845:HIA458845 HRS458845:HRW458845 IBO458845:IBS458845 ILK458845:ILO458845 IVG458845:IVK458845 JFC458845:JFG458845 JOY458845:JPC458845 JYU458845:JYY458845 KIQ458845:KIU458845 KSM458845:KSQ458845 LCI458845:LCM458845 LME458845:LMI458845 LWA458845:LWE458845 MFW458845:MGA458845 MPS458845:MPW458845 MZO458845:MZS458845 NJK458845:NJO458845 NTG458845:NTK458845 ODC458845:ODG458845 OMY458845:ONC458845 OWU458845:OWY458845 PGQ458845:PGU458845 PQM458845:PQQ458845 QAI458845:QAM458845 QKE458845:QKI458845 QUA458845:QUE458845 RDW458845:REA458845 RNS458845:RNW458845 RXO458845:RXS458845 SHK458845:SHO458845 SRG458845:SRK458845 TBC458845:TBG458845 TKY458845:TLC458845 TUU458845:TUY458845 UEQ458845:UEU458845 UOM458845:UOQ458845 UYI458845:UYM458845 VIE458845:VII458845 VSA458845:VSE458845 WBW458845:WCA458845 WLS458845:WLW458845 WVO458845:WVS458845 G524381:K524381 JC524381:JG524381 SY524381:TC524381 ACU524381:ACY524381 AMQ524381:AMU524381 AWM524381:AWQ524381 BGI524381:BGM524381 BQE524381:BQI524381 CAA524381:CAE524381 CJW524381:CKA524381 CTS524381:CTW524381 DDO524381:DDS524381 DNK524381:DNO524381 DXG524381:DXK524381 EHC524381:EHG524381 EQY524381:ERC524381 FAU524381:FAY524381 FKQ524381:FKU524381 FUM524381:FUQ524381 GEI524381:GEM524381 GOE524381:GOI524381 GYA524381:GYE524381 HHW524381:HIA524381 HRS524381:HRW524381 IBO524381:IBS524381 ILK524381:ILO524381 IVG524381:IVK524381 JFC524381:JFG524381 JOY524381:JPC524381 JYU524381:JYY524381 KIQ524381:KIU524381 KSM524381:KSQ524381 LCI524381:LCM524381 LME524381:LMI524381 LWA524381:LWE524381 MFW524381:MGA524381 MPS524381:MPW524381 MZO524381:MZS524381 NJK524381:NJO524381 NTG524381:NTK524381 ODC524381:ODG524381 OMY524381:ONC524381 OWU524381:OWY524381 PGQ524381:PGU524381 PQM524381:PQQ524381 QAI524381:QAM524381 QKE524381:QKI524381 QUA524381:QUE524381 RDW524381:REA524381 RNS524381:RNW524381 RXO524381:RXS524381 SHK524381:SHO524381 SRG524381:SRK524381 TBC524381:TBG524381 TKY524381:TLC524381 TUU524381:TUY524381 UEQ524381:UEU524381 UOM524381:UOQ524381 UYI524381:UYM524381 VIE524381:VII524381 VSA524381:VSE524381 WBW524381:WCA524381 WLS524381:WLW524381 WVO524381:WVS524381 G589917:K589917 JC589917:JG589917 SY589917:TC589917 ACU589917:ACY589917 AMQ589917:AMU589917 AWM589917:AWQ589917 BGI589917:BGM589917 BQE589917:BQI589917 CAA589917:CAE589917 CJW589917:CKA589917 CTS589917:CTW589917 DDO589917:DDS589917 DNK589917:DNO589917 DXG589917:DXK589917 EHC589917:EHG589917 EQY589917:ERC589917 FAU589917:FAY589917 FKQ589917:FKU589917 FUM589917:FUQ589917 GEI589917:GEM589917 GOE589917:GOI589917 GYA589917:GYE589917 HHW589917:HIA589917 HRS589917:HRW589917 IBO589917:IBS589917 ILK589917:ILO589917 IVG589917:IVK589917 JFC589917:JFG589917 JOY589917:JPC589917 JYU589917:JYY589917 KIQ589917:KIU589917 KSM589917:KSQ589917 LCI589917:LCM589917 LME589917:LMI589917 LWA589917:LWE589917 MFW589917:MGA589917 MPS589917:MPW589917 MZO589917:MZS589917 NJK589917:NJO589917 NTG589917:NTK589917 ODC589917:ODG589917 OMY589917:ONC589917 OWU589917:OWY589917 PGQ589917:PGU589917 PQM589917:PQQ589917 QAI589917:QAM589917 QKE589917:QKI589917 QUA589917:QUE589917 RDW589917:REA589917 RNS589917:RNW589917 RXO589917:RXS589917 SHK589917:SHO589917 SRG589917:SRK589917 TBC589917:TBG589917 TKY589917:TLC589917 TUU589917:TUY589917 UEQ589917:UEU589917 UOM589917:UOQ589917 UYI589917:UYM589917 VIE589917:VII589917 VSA589917:VSE589917 WBW589917:WCA589917 WLS589917:WLW589917 WVO589917:WVS589917 G655453:K655453 JC655453:JG655453 SY655453:TC655453 ACU655453:ACY655453 AMQ655453:AMU655453 AWM655453:AWQ655453 BGI655453:BGM655453 BQE655453:BQI655453 CAA655453:CAE655453 CJW655453:CKA655453 CTS655453:CTW655453 DDO655453:DDS655453 DNK655453:DNO655453 DXG655453:DXK655453 EHC655453:EHG655453 EQY655453:ERC655453 FAU655453:FAY655453 FKQ655453:FKU655453 FUM655453:FUQ655453 GEI655453:GEM655453 GOE655453:GOI655453 GYA655453:GYE655453 HHW655453:HIA655453 HRS655453:HRW655453 IBO655453:IBS655453 ILK655453:ILO655453 IVG655453:IVK655453 JFC655453:JFG655453 JOY655453:JPC655453 JYU655453:JYY655453 KIQ655453:KIU655453 KSM655453:KSQ655453 LCI655453:LCM655453 LME655453:LMI655453 LWA655453:LWE655453 MFW655453:MGA655453 MPS655453:MPW655453 MZO655453:MZS655453 NJK655453:NJO655453 NTG655453:NTK655453 ODC655453:ODG655453 OMY655453:ONC655453 OWU655453:OWY655453 PGQ655453:PGU655453 PQM655453:PQQ655453 QAI655453:QAM655453 QKE655453:QKI655453 QUA655453:QUE655453 RDW655453:REA655453 RNS655453:RNW655453 RXO655453:RXS655453 SHK655453:SHO655453 SRG655453:SRK655453 TBC655453:TBG655453 TKY655453:TLC655453 TUU655453:TUY655453 UEQ655453:UEU655453 UOM655453:UOQ655453 UYI655453:UYM655453 VIE655453:VII655453 VSA655453:VSE655453 WBW655453:WCA655453 WLS655453:WLW655453 WVO655453:WVS655453 G720989:K720989 JC720989:JG720989 SY720989:TC720989 ACU720989:ACY720989 AMQ720989:AMU720989 AWM720989:AWQ720989 BGI720989:BGM720989 BQE720989:BQI720989 CAA720989:CAE720989 CJW720989:CKA720989 CTS720989:CTW720989 DDO720989:DDS720989 DNK720989:DNO720989 DXG720989:DXK720989 EHC720989:EHG720989 EQY720989:ERC720989 FAU720989:FAY720989 FKQ720989:FKU720989 FUM720989:FUQ720989 GEI720989:GEM720989 GOE720989:GOI720989 GYA720989:GYE720989 HHW720989:HIA720989 HRS720989:HRW720989 IBO720989:IBS720989 ILK720989:ILO720989 IVG720989:IVK720989 JFC720989:JFG720989 JOY720989:JPC720989 JYU720989:JYY720989 KIQ720989:KIU720989 KSM720989:KSQ720989 LCI720989:LCM720989 LME720989:LMI720989 LWA720989:LWE720989 MFW720989:MGA720989 MPS720989:MPW720989 MZO720989:MZS720989 NJK720989:NJO720989 NTG720989:NTK720989 ODC720989:ODG720989 OMY720989:ONC720989 OWU720989:OWY720989 PGQ720989:PGU720989 PQM720989:PQQ720989 QAI720989:QAM720989 QKE720989:QKI720989 QUA720989:QUE720989 RDW720989:REA720989 RNS720989:RNW720989 RXO720989:RXS720989 SHK720989:SHO720989 SRG720989:SRK720989 TBC720989:TBG720989 TKY720989:TLC720989 TUU720989:TUY720989 UEQ720989:UEU720989 UOM720989:UOQ720989 UYI720989:UYM720989 VIE720989:VII720989 VSA720989:VSE720989 WBW720989:WCA720989 WLS720989:WLW720989 WVO720989:WVS720989 G786525:K786525 JC786525:JG786525 SY786525:TC786525 ACU786525:ACY786525 AMQ786525:AMU786525 AWM786525:AWQ786525 BGI786525:BGM786525 BQE786525:BQI786525 CAA786525:CAE786525 CJW786525:CKA786525 CTS786525:CTW786525 DDO786525:DDS786525 DNK786525:DNO786525 DXG786525:DXK786525 EHC786525:EHG786525 EQY786525:ERC786525 FAU786525:FAY786525 FKQ786525:FKU786525 FUM786525:FUQ786525 GEI786525:GEM786525 GOE786525:GOI786525 GYA786525:GYE786525 HHW786525:HIA786525 HRS786525:HRW786525 IBO786525:IBS786525 ILK786525:ILO786525 IVG786525:IVK786525 JFC786525:JFG786525 JOY786525:JPC786525 JYU786525:JYY786525 KIQ786525:KIU786525 KSM786525:KSQ786525 LCI786525:LCM786525 LME786525:LMI786525 LWA786525:LWE786525 MFW786525:MGA786525 MPS786525:MPW786525 MZO786525:MZS786525 NJK786525:NJO786525 NTG786525:NTK786525 ODC786525:ODG786525 OMY786525:ONC786525 OWU786525:OWY786525 PGQ786525:PGU786525 PQM786525:PQQ786525 QAI786525:QAM786525 QKE786525:QKI786525 QUA786525:QUE786525 RDW786525:REA786525 RNS786525:RNW786525 RXO786525:RXS786525 SHK786525:SHO786525 SRG786525:SRK786525 TBC786525:TBG786525 TKY786525:TLC786525 TUU786525:TUY786525 UEQ786525:UEU786525 UOM786525:UOQ786525 UYI786525:UYM786525 VIE786525:VII786525 VSA786525:VSE786525 WBW786525:WCA786525 WLS786525:WLW786525 WVO786525:WVS786525 G852061:K852061 JC852061:JG852061 SY852061:TC852061 ACU852061:ACY852061 AMQ852061:AMU852061 AWM852061:AWQ852061 BGI852061:BGM852061 BQE852061:BQI852061 CAA852061:CAE852061 CJW852061:CKA852061 CTS852061:CTW852061 DDO852061:DDS852061 DNK852061:DNO852061 DXG852061:DXK852061 EHC852061:EHG852061 EQY852061:ERC852061 FAU852061:FAY852061 FKQ852061:FKU852061 FUM852061:FUQ852061 GEI852061:GEM852061 GOE852061:GOI852061 GYA852061:GYE852061 HHW852061:HIA852061 HRS852061:HRW852061 IBO852061:IBS852061 ILK852061:ILO852061 IVG852061:IVK852061 JFC852061:JFG852061 JOY852061:JPC852061 JYU852061:JYY852061 KIQ852061:KIU852061 KSM852061:KSQ852061 LCI852061:LCM852061 LME852061:LMI852061 LWA852061:LWE852061 MFW852061:MGA852061 MPS852061:MPW852061 MZO852061:MZS852061 NJK852061:NJO852061 NTG852061:NTK852061 ODC852061:ODG852061 OMY852061:ONC852061 OWU852061:OWY852061 PGQ852061:PGU852061 PQM852061:PQQ852061 QAI852061:QAM852061 QKE852061:QKI852061 QUA852061:QUE852061 RDW852061:REA852061 RNS852061:RNW852061 RXO852061:RXS852061 SHK852061:SHO852061 SRG852061:SRK852061 TBC852061:TBG852061 TKY852061:TLC852061 TUU852061:TUY852061 UEQ852061:UEU852061 UOM852061:UOQ852061 UYI852061:UYM852061 VIE852061:VII852061 VSA852061:VSE852061 WBW852061:WCA852061 WLS852061:WLW852061 WVO852061:WVS852061 G917597:K917597 JC917597:JG917597 SY917597:TC917597 ACU917597:ACY917597 AMQ917597:AMU917597 AWM917597:AWQ917597 BGI917597:BGM917597 BQE917597:BQI917597 CAA917597:CAE917597 CJW917597:CKA917597 CTS917597:CTW917597 DDO917597:DDS917597 DNK917597:DNO917597 DXG917597:DXK917597 EHC917597:EHG917597 EQY917597:ERC917597 FAU917597:FAY917597 FKQ917597:FKU917597 FUM917597:FUQ917597 GEI917597:GEM917597 GOE917597:GOI917597 GYA917597:GYE917597 HHW917597:HIA917597 HRS917597:HRW917597 IBO917597:IBS917597 ILK917597:ILO917597 IVG917597:IVK917597 JFC917597:JFG917597 JOY917597:JPC917597 JYU917597:JYY917597 KIQ917597:KIU917597 KSM917597:KSQ917597 LCI917597:LCM917597 LME917597:LMI917597 LWA917597:LWE917597 MFW917597:MGA917597 MPS917597:MPW917597 MZO917597:MZS917597 NJK917597:NJO917597 NTG917597:NTK917597 ODC917597:ODG917597 OMY917597:ONC917597 OWU917597:OWY917597 PGQ917597:PGU917597 PQM917597:PQQ917597 QAI917597:QAM917597 QKE917597:QKI917597 QUA917597:QUE917597 RDW917597:REA917597 RNS917597:RNW917597 RXO917597:RXS917597 SHK917597:SHO917597 SRG917597:SRK917597 TBC917597:TBG917597 TKY917597:TLC917597 TUU917597:TUY917597 UEQ917597:UEU917597 UOM917597:UOQ917597 UYI917597:UYM917597 VIE917597:VII917597 VSA917597:VSE917597 WBW917597:WCA917597 WLS917597:WLW917597 WVO917597:WVS917597 G983133:K983133 JC983133:JG983133 SY983133:TC983133 ACU983133:ACY983133 AMQ983133:AMU983133 AWM983133:AWQ983133 BGI983133:BGM983133 BQE983133:BQI983133 CAA983133:CAE983133 CJW983133:CKA983133 CTS983133:CTW983133 DDO983133:DDS983133 DNK983133:DNO983133 DXG983133:DXK983133 EHC983133:EHG983133 EQY983133:ERC983133 FAU983133:FAY983133 FKQ983133:FKU983133 FUM983133:FUQ983133 GEI983133:GEM983133 GOE983133:GOI983133 GYA983133:GYE983133 HHW983133:HIA983133 HRS983133:HRW983133 IBO983133:IBS983133 ILK983133:ILO983133 IVG983133:IVK983133 JFC983133:JFG983133 JOY983133:JPC983133 JYU983133:JYY983133 KIQ983133:KIU983133 KSM983133:KSQ983133 LCI983133:LCM983133 LME983133:LMI983133 LWA983133:LWE983133 MFW983133:MGA983133 MPS983133:MPW983133 MZO983133:MZS983133 NJK983133:NJO983133 NTG983133:NTK983133 ODC983133:ODG983133 OMY983133:ONC983133 OWU983133:OWY983133 PGQ983133:PGU983133 PQM983133:PQQ983133 QAI983133:QAM983133 QKE983133:QKI983133 QUA983133:QUE983133 RDW983133:REA983133 RNS983133:RNW983133 RXO983133:RXS983133 SHK983133:SHO983133 SRG983133:SRK983133 TBC983133:TBG983133 TKY983133:TLC983133 TUU983133:TUY983133 UEQ983133:UEU983133 UOM983133:UOQ983133 UYI983133:UYM983133 VIE983133:VII983133 VSA983133:VSE983133 WBW983133:WCA983133 WLS983133:WLW983133 WVO983133:WVS983133" xr:uid="{00000000-0002-0000-1800-000003000000}">
      <formula1>"有り,無し"</formula1>
    </dataValidation>
  </dataValidations>
  <pageMargins left="0.78700000000000003" right="0.78700000000000003" top="0.98399999999999999" bottom="0.98399999999999999" header="0.51200000000000001" footer="0.51200000000000001"/>
  <pageSetup paperSize="9" scale="64" orientation="landscape" r:id="rId1"/>
  <headerFooter alignWithMargins="0"/>
  <rowBreaks count="9" manualBreakCount="9">
    <brk id="43" max="16383" man="1"/>
    <brk id="83" max="13" man="1"/>
    <brk id="142" max="13" man="1"/>
    <brk id="173" max="16383" man="1"/>
    <brk id="219" max="16383" man="1"/>
    <brk id="297" max="13" man="1"/>
    <brk id="355" max="16383" man="1"/>
    <brk id="386" max="16383" man="1"/>
    <brk id="432" max="16383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/>
  <dimension ref="A1:AH136"/>
  <sheetViews>
    <sheetView zoomScaleNormal="100" workbookViewId="0">
      <selection activeCell="L16" sqref="L16"/>
    </sheetView>
  </sheetViews>
  <sheetFormatPr baseColWidth="10" defaultColWidth="9" defaultRowHeight="14"/>
  <cols>
    <col min="1" max="1" width="6.83203125" customWidth="1"/>
    <col min="6" max="6" width="8" customWidth="1"/>
    <col min="9" max="9" width="9.5" customWidth="1"/>
    <col min="12" max="12" width="4.33203125" customWidth="1"/>
    <col min="13" max="13" width="14.6640625" customWidth="1"/>
    <col min="14" max="14" width="15.33203125" customWidth="1"/>
  </cols>
  <sheetData>
    <row r="1" spans="1:15">
      <c r="A1" s="41"/>
      <c r="B1" t="s">
        <v>112</v>
      </c>
      <c r="E1" s="41"/>
      <c r="F1" s="41"/>
      <c r="G1" s="41"/>
      <c r="H1" s="41"/>
      <c r="I1" s="41"/>
    </row>
    <row r="2" spans="1:15">
      <c r="A2" s="41"/>
      <c r="C2" t="s">
        <v>111</v>
      </c>
      <c r="D2" s="136">
        <v>0</v>
      </c>
      <c r="E2" s="41"/>
      <c r="F2" s="46" t="s">
        <v>40</v>
      </c>
      <c r="G2" s="47"/>
      <c r="H2" s="101" t="str">
        <f>IF(E2="","",INT(E2*G2))</f>
        <v/>
      </c>
      <c r="I2" s="41"/>
      <c r="J2" s="147"/>
      <c r="K2" s="147"/>
      <c r="L2" s="147"/>
      <c r="M2" s="148"/>
      <c r="N2" s="147"/>
      <c r="O2" s="147"/>
    </row>
    <row r="3" spans="1:15">
      <c r="A3" s="41"/>
      <c r="B3" t="s">
        <v>94</v>
      </c>
      <c r="E3" s="49"/>
      <c r="F3" s="41"/>
      <c r="G3" s="41"/>
      <c r="H3" s="41"/>
      <c r="I3" s="41"/>
      <c r="J3" s="147"/>
      <c r="K3" s="149"/>
      <c r="L3" s="147"/>
      <c r="M3" s="147"/>
      <c r="N3" s="147"/>
      <c r="O3" s="147"/>
    </row>
    <row r="4" spans="1:15">
      <c r="A4" s="41"/>
      <c r="C4" t="s">
        <v>95</v>
      </c>
      <c r="D4" s="136">
        <v>4</v>
      </c>
      <c r="E4" s="41"/>
      <c r="F4" s="44" t="s">
        <v>41</v>
      </c>
      <c r="G4" s="44"/>
      <c r="H4" s="42" t="str">
        <f>+表紙!W5</f>
        <v>標準単価2018.xls</v>
      </c>
      <c r="I4" s="41"/>
      <c r="J4" s="147"/>
      <c r="K4" s="150"/>
      <c r="L4" s="150"/>
      <c r="M4" s="148"/>
      <c r="N4" s="148"/>
      <c r="O4" s="147"/>
    </row>
    <row r="5" spans="1:15">
      <c r="A5" s="41"/>
      <c r="B5" t="s">
        <v>96</v>
      </c>
      <c r="D5" s="41"/>
      <c r="E5" s="41"/>
      <c r="F5" s="48" t="s">
        <v>42</v>
      </c>
      <c r="G5" s="44"/>
      <c r="H5" s="43" t="str">
        <f>+表紙!W6</f>
        <v>c:\積算\</v>
      </c>
      <c r="I5" s="41"/>
      <c r="J5" s="147"/>
      <c r="K5" s="150"/>
      <c r="L5" s="150"/>
      <c r="M5" s="148"/>
      <c r="N5" s="148"/>
      <c r="O5" s="147"/>
    </row>
    <row r="6" spans="1:15">
      <c r="A6" s="41"/>
      <c r="C6" t="s">
        <v>99</v>
      </c>
      <c r="D6" s="136">
        <v>4</v>
      </c>
      <c r="E6" s="41"/>
      <c r="F6" s="41"/>
      <c r="G6" s="41"/>
      <c r="H6" s="41"/>
      <c r="I6" s="41"/>
      <c r="J6" s="147"/>
      <c r="K6" s="150"/>
      <c r="L6" s="150"/>
      <c r="M6" s="148"/>
      <c r="N6" s="148"/>
      <c r="O6" s="147"/>
    </row>
    <row r="7" spans="1:15">
      <c r="A7" s="41"/>
      <c r="B7" t="s">
        <v>97</v>
      </c>
      <c r="D7" s="41"/>
      <c r="E7" s="41"/>
      <c r="F7" s="41" t="s">
        <v>102</v>
      </c>
      <c r="G7" s="41"/>
      <c r="H7" s="41"/>
      <c r="I7" s="41"/>
      <c r="J7" s="147"/>
      <c r="K7" s="150"/>
      <c r="L7" s="150"/>
      <c r="M7" s="148"/>
      <c r="N7" s="148"/>
      <c r="O7" s="147"/>
    </row>
    <row r="8" spans="1:15">
      <c r="A8" s="41"/>
      <c r="C8" t="s">
        <v>100</v>
      </c>
      <c r="D8" s="136">
        <v>0</v>
      </c>
      <c r="E8" s="41"/>
      <c r="F8" s="41"/>
      <c r="G8" s="41" t="s">
        <v>45</v>
      </c>
      <c r="H8" s="138">
        <v>1</v>
      </c>
      <c r="I8" s="41"/>
      <c r="J8" s="147"/>
      <c r="K8" s="150"/>
      <c r="L8" s="150"/>
      <c r="M8" s="148"/>
      <c r="N8" s="148"/>
      <c r="O8" s="147"/>
    </row>
    <row r="9" spans="1:15">
      <c r="A9" s="41"/>
      <c r="B9" t="s">
        <v>98</v>
      </c>
      <c r="D9" s="41"/>
      <c r="E9" s="41"/>
      <c r="F9" s="41" t="s">
        <v>43</v>
      </c>
      <c r="G9" s="41"/>
      <c r="H9" s="41"/>
      <c r="I9" s="41"/>
      <c r="J9" s="147"/>
      <c r="K9" s="150"/>
      <c r="L9" s="150"/>
      <c r="M9" s="148"/>
      <c r="N9" s="148"/>
      <c r="O9" s="147"/>
    </row>
    <row r="10" spans="1:15">
      <c r="A10" s="41"/>
      <c r="C10" t="s">
        <v>101</v>
      </c>
      <c r="D10" s="136">
        <v>0</v>
      </c>
      <c r="E10" s="41"/>
      <c r="F10" s="41"/>
      <c r="G10" s="41" t="s">
        <v>46</v>
      </c>
      <c r="H10" s="45">
        <v>5000</v>
      </c>
      <c r="I10" s="41"/>
      <c r="J10" s="147"/>
      <c r="K10" s="150"/>
      <c r="L10" s="150"/>
      <c r="M10" s="148"/>
      <c r="N10" s="148"/>
      <c r="O10" s="147"/>
    </row>
    <row r="11" spans="1:15">
      <c r="A11" s="41"/>
      <c r="B11" t="s">
        <v>108</v>
      </c>
      <c r="D11" s="41"/>
      <c r="E11" s="41"/>
      <c r="F11" s="41" t="s">
        <v>81</v>
      </c>
      <c r="G11" s="41"/>
      <c r="H11" s="41"/>
      <c r="I11" s="41"/>
      <c r="J11" s="147"/>
      <c r="K11" s="150"/>
      <c r="L11" s="150"/>
      <c r="M11" s="148"/>
      <c r="N11" s="148"/>
      <c r="O11" s="147"/>
    </row>
    <row r="12" spans="1:15">
      <c r="A12" s="41"/>
      <c r="C12" t="s">
        <v>105</v>
      </c>
      <c r="D12" s="136">
        <v>0</v>
      </c>
      <c r="E12" s="41"/>
      <c r="F12" s="41"/>
      <c r="G12" s="49" t="s">
        <v>47</v>
      </c>
      <c r="H12" s="137">
        <v>3</v>
      </c>
      <c r="I12" s="41"/>
      <c r="J12" s="147"/>
      <c r="K12" s="150"/>
      <c r="L12" s="150"/>
      <c r="M12" s="148"/>
      <c r="N12" s="148"/>
      <c r="O12" s="147"/>
    </row>
    <row r="13" spans="1:15">
      <c r="A13" s="41"/>
      <c r="B13" t="s">
        <v>104</v>
      </c>
      <c r="D13" s="41"/>
      <c r="E13" s="41"/>
      <c r="F13" s="41" t="s">
        <v>51</v>
      </c>
      <c r="G13" s="41"/>
      <c r="H13" s="41"/>
      <c r="I13" s="41"/>
      <c r="J13" s="147"/>
      <c r="K13" s="150"/>
      <c r="L13" s="150"/>
      <c r="M13" s="148"/>
      <c r="N13" s="148"/>
      <c r="O13" s="147"/>
    </row>
    <row r="14" spans="1:15">
      <c r="A14" s="41"/>
      <c r="C14" t="s">
        <v>107</v>
      </c>
      <c r="D14" s="138">
        <v>16</v>
      </c>
      <c r="E14" s="41"/>
      <c r="F14" s="41"/>
      <c r="G14" s="41" t="s">
        <v>52</v>
      </c>
      <c r="H14" s="45">
        <f>+表紙!S9</f>
        <v>1</v>
      </c>
      <c r="I14" s="41"/>
      <c r="J14" s="147"/>
      <c r="K14" s="150"/>
      <c r="L14" s="150"/>
      <c r="M14" s="148"/>
      <c r="N14" s="148"/>
      <c r="O14" s="147"/>
    </row>
    <row r="15" spans="1:15">
      <c r="A15" s="41"/>
      <c r="B15" t="s">
        <v>201</v>
      </c>
      <c r="D15" s="41"/>
      <c r="E15" s="41"/>
      <c r="F15" s="41" t="s">
        <v>53</v>
      </c>
      <c r="G15" s="41"/>
      <c r="H15" s="41"/>
      <c r="I15" s="41"/>
      <c r="J15" s="147"/>
      <c r="K15" s="150"/>
      <c r="L15" s="150"/>
      <c r="M15" s="148"/>
      <c r="N15" s="148"/>
      <c r="O15" s="147"/>
    </row>
    <row r="16" spans="1:15">
      <c r="A16" s="41"/>
      <c r="C16" t="s">
        <v>193</v>
      </c>
      <c r="D16" s="45">
        <v>1</v>
      </c>
      <c r="E16" s="41"/>
      <c r="F16" s="41"/>
      <c r="G16" s="41" t="s">
        <v>202</v>
      </c>
      <c r="H16" s="138">
        <v>7</v>
      </c>
      <c r="I16" s="41"/>
      <c r="J16" s="147"/>
      <c r="K16" s="150"/>
      <c r="L16" s="150"/>
      <c r="M16" s="148"/>
      <c r="N16" s="148"/>
      <c r="O16" s="147"/>
    </row>
    <row r="17" spans="1:15">
      <c r="A17" s="41"/>
      <c r="B17" t="s">
        <v>194</v>
      </c>
      <c r="D17" s="41"/>
      <c r="E17" s="41"/>
      <c r="F17" s="41" t="s">
        <v>54</v>
      </c>
      <c r="G17" s="41"/>
      <c r="H17" s="139"/>
      <c r="I17" s="41"/>
      <c r="J17" s="147"/>
      <c r="K17" s="150"/>
      <c r="L17" s="150"/>
      <c r="M17" s="148"/>
      <c r="N17" s="148"/>
      <c r="O17" s="147"/>
    </row>
    <row r="18" spans="1:15">
      <c r="A18" s="41"/>
      <c r="C18" t="s">
        <v>195</v>
      </c>
      <c r="D18" s="219"/>
      <c r="E18" s="41"/>
      <c r="F18" s="41"/>
      <c r="G18" s="41" t="s">
        <v>55</v>
      </c>
      <c r="H18" s="138">
        <f>工事7!J2</f>
        <v>35</v>
      </c>
      <c r="I18" s="41"/>
      <c r="J18" s="147"/>
      <c r="K18" s="150"/>
      <c r="L18" s="150"/>
      <c r="M18" s="148"/>
      <c r="N18" s="148"/>
      <c r="O18" s="147"/>
    </row>
    <row r="19" spans="1:15">
      <c r="A19" s="41"/>
      <c r="C19" t="s">
        <v>196</v>
      </c>
      <c r="D19" s="219"/>
      <c r="E19" s="41"/>
      <c r="F19" s="41" t="s">
        <v>57</v>
      </c>
      <c r="G19" s="41"/>
      <c r="H19" s="139"/>
      <c r="I19" s="41"/>
      <c r="J19" s="147"/>
      <c r="K19" s="150"/>
      <c r="L19" s="150"/>
      <c r="M19" s="148"/>
      <c r="N19" s="148"/>
      <c r="O19" s="147"/>
    </row>
    <row r="20" spans="1:15">
      <c r="A20" s="41"/>
      <c r="D20" s="41"/>
      <c r="E20" s="41"/>
      <c r="F20" s="41"/>
      <c r="G20" s="41" t="s">
        <v>58</v>
      </c>
      <c r="H20" s="138">
        <f>COUNTA(代価一覧!C2:C65536)</f>
        <v>12</v>
      </c>
      <c r="I20" s="41"/>
    </row>
    <row r="21" spans="1:15">
      <c r="A21" s="41"/>
      <c r="D21" s="41"/>
      <c r="E21" s="41"/>
      <c r="F21" s="44" t="s">
        <v>114</v>
      </c>
      <c r="G21" s="44"/>
      <c r="H21" s="42" t="str">
        <f>+表紙!W8</f>
        <v>変更諸経費表2018【作成中】.xls</v>
      </c>
      <c r="I21" s="41"/>
    </row>
    <row r="22" spans="1:15">
      <c r="A22" s="41"/>
      <c r="D22" s="41"/>
      <c r="E22" s="41"/>
      <c r="F22" s="48" t="s">
        <v>115</v>
      </c>
      <c r="G22" s="44"/>
      <c r="H22" s="43" t="str">
        <f>+表紙!W9</f>
        <v>c:\積算\</v>
      </c>
      <c r="I22" s="41"/>
    </row>
    <row r="23" spans="1:15" ht="17">
      <c r="A23" s="41"/>
      <c r="D23" s="41"/>
      <c r="E23" s="41"/>
      <c r="F23" s="41"/>
      <c r="G23" s="41"/>
      <c r="H23" s="80"/>
      <c r="I23" s="41"/>
    </row>
    <row r="24" spans="1:15">
      <c r="A24" s="41"/>
      <c r="B24" t="s">
        <v>198</v>
      </c>
      <c r="E24" s="41"/>
      <c r="F24" s="41" t="s">
        <v>63</v>
      </c>
      <c r="G24" s="41"/>
      <c r="H24" s="41"/>
      <c r="I24" s="41"/>
    </row>
    <row r="25" spans="1:15">
      <c r="A25" s="41"/>
      <c r="C25" t="s">
        <v>197</v>
      </c>
      <c r="D25" s="136">
        <v>9</v>
      </c>
      <c r="E25" s="41"/>
      <c r="F25" s="41"/>
      <c r="G25" s="41" t="s">
        <v>64</v>
      </c>
      <c r="H25" s="45" t="s">
        <v>277</v>
      </c>
      <c r="I25" s="41"/>
    </row>
    <row r="26" spans="1:15">
      <c r="A26" s="41"/>
      <c r="B26" t="s">
        <v>199</v>
      </c>
      <c r="E26" s="41"/>
      <c r="F26" s="41" t="s">
        <v>121</v>
      </c>
      <c r="G26" s="41"/>
      <c r="H26" s="41"/>
      <c r="I26" s="41"/>
    </row>
    <row r="27" spans="1:15" ht="15" thickBot="1">
      <c r="A27" s="41"/>
      <c r="C27" t="s">
        <v>197</v>
      </c>
      <c r="D27" s="136" t="s">
        <v>200</v>
      </c>
      <c r="E27" s="41"/>
      <c r="F27" s="41"/>
      <c r="G27" s="151" t="s">
        <v>120</v>
      </c>
      <c r="H27" s="105" t="e">
        <f>SUM(H9:H26)+H4</f>
        <v>#VALUE!</v>
      </c>
      <c r="I27" s="105">
        <f>SUM(I9:I26)+I4</f>
        <v>0</v>
      </c>
      <c r="J27" s="821">
        <f>IF(B8="部分撤去工事",(J4+K27),0)</f>
        <v>0</v>
      </c>
      <c r="K27" s="820">
        <f>IF(B8="部分撤去工事",SUMIF(M9:M26,"費用",H9:H26),0)</f>
        <v>0</v>
      </c>
    </row>
    <row r="28" spans="1:15">
      <c r="A28" s="41"/>
      <c r="D28" s="41"/>
      <c r="E28" s="41"/>
      <c r="F28" s="41" t="s">
        <v>82</v>
      </c>
      <c r="G28" s="41"/>
      <c r="H28" s="41"/>
      <c r="I28" s="41"/>
    </row>
    <row r="29" spans="1:15">
      <c r="A29" s="41"/>
      <c r="D29" s="41"/>
      <c r="E29" s="41"/>
      <c r="F29" s="41"/>
      <c r="G29" s="41" t="s">
        <v>83</v>
      </c>
      <c r="H29" s="45">
        <v>0</v>
      </c>
      <c r="I29" s="41"/>
    </row>
    <row r="30" spans="1:15">
      <c r="A30" s="41"/>
      <c r="B30" s="41"/>
      <c r="C30" s="41"/>
      <c r="D30" s="41"/>
      <c r="E30" s="41"/>
      <c r="F30" s="41" t="s">
        <v>116</v>
      </c>
      <c r="G30" s="41"/>
      <c r="H30" s="41"/>
      <c r="I30" s="41"/>
    </row>
    <row r="31" spans="1:15">
      <c r="G31" s="41" t="s">
        <v>117</v>
      </c>
      <c r="H31" s="387" t="s">
        <v>2496</v>
      </c>
    </row>
    <row r="32" spans="1:15">
      <c r="G32" s="41" t="s">
        <v>118</v>
      </c>
      <c r="H32" s="387" t="s">
        <v>2499</v>
      </c>
    </row>
    <row r="33" spans="7:8">
      <c r="G33" s="41" t="s">
        <v>119</v>
      </c>
      <c r="H33" s="387" t="s">
        <v>2500</v>
      </c>
    </row>
    <row r="35" spans="7:8">
      <c r="G35" s="41"/>
    </row>
    <row r="50" spans="1:34" s="1" customFormat="1" ht="26.25" customHeight="1" thickBot="1">
      <c r="A50" s="6"/>
      <c r="B50" s="6"/>
      <c r="C50" s="2822" t="s">
        <v>320</v>
      </c>
      <c r="D50" s="2822"/>
      <c r="E50" s="2822"/>
      <c r="F50" s="2822"/>
      <c r="G50" s="2822"/>
      <c r="H50" s="2822"/>
      <c r="I50" s="2822"/>
      <c r="J50" s="2822"/>
      <c r="K50" s="2822"/>
      <c r="L50" s="2822"/>
      <c r="O50" s="2823" t="s">
        <v>132</v>
      </c>
      <c r="P50" s="2823"/>
      <c r="Q50" s="2823"/>
      <c r="R50" s="2823"/>
      <c r="S50" s="2823"/>
      <c r="T50" s="2823"/>
      <c r="U50" s="2823"/>
      <c r="V50" s="2823"/>
      <c r="W50" s="2823"/>
      <c r="X50" s="2823"/>
      <c r="Y50" s="2823"/>
      <c r="Z50" s="2823"/>
      <c r="AA50" s="2823"/>
      <c r="AB50" s="2823"/>
      <c r="AC50" s="2823"/>
      <c r="AD50" s="2823"/>
      <c r="AE50" s="2823"/>
      <c r="AF50" s="2823"/>
      <c r="AG50" s="2823"/>
      <c r="AH50" s="2824"/>
    </row>
    <row r="51" spans="1:34" s="1" customFormat="1" ht="41.25" customHeight="1">
      <c r="A51" s="5" t="s">
        <v>12</v>
      </c>
      <c r="B51" s="5" t="s">
        <v>44</v>
      </c>
      <c r="C51" s="110" t="s">
        <v>0</v>
      </c>
      <c r="D51" s="106"/>
      <c r="E51" s="107" t="s">
        <v>1</v>
      </c>
      <c r="F51" s="108" t="s">
        <v>2</v>
      </c>
      <c r="G51" s="108" t="s">
        <v>3</v>
      </c>
      <c r="H51" s="109" t="s">
        <v>4</v>
      </c>
      <c r="I51" s="109" t="s">
        <v>5</v>
      </c>
      <c r="J51" s="2825" t="s">
        <v>6</v>
      </c>
      <c r="K51" s="2826"/>
      <c r="L51" s="2827"/>
      <c r="M51" s="521"/>
      <c r="N51" s="522" t="s">
        <v>378</v>
      </c>
      <c r="O51" s="154" t="s">
        <v>67</v>
      </c>
      <c r="P51" s="386" t="s">
        <v>303</v>
      </c>
      <c r="Q51" s="276" t="s">
        <v>304</v>
      </c>
      <c r="R51" s="276" t="s">
        <v>212</v>
      </c>
      <c r="S51" s="276" t="s">
        <v>213</v>
      </c>
      <c r="T51" s="276" t="s">
        <v>305</v>
      </c>
      <c r="U51" s="276" t="s">
        <v>126</v>
      </c>
      <c r="V51" s="153" t="s">
        <v>125</v>
      </c>
      <c r="W51" s="276" t="s">
        <v>311</v>
      </c>
      <c r="X51" s="220" t="s">
        <v>214</v>
      </c>
      <c r="Y51" s="220" t="s">
        <v>215</v>
      </c>
      <c r="Z51" s="220" t="s">
        <v>216</v>
      </c>
      <c r="AA51" s="220" t="s">
        <v>217</v>
      </c>
      <c r="AB51" s="220" t="s">
        <v>312</v>
      </c>
      <c r="AC51" s="458" t="s">
        <v>313</v>
      </c>
      <c r="AD51" s="459" t="s">
        <v>314</v>
      </c>
      <c r="AE51" s="460" t="s">
        <v>128</v>
      </c>
      <c r="AF51" s="152" t="s">
        <v>315</v>
      </c>
      <c r="AG51" s="152" t="s">
        <v>316</v>
      </c>
      <c r="AH51" s="152" t="s">
        <v>130</v>
      </c>
    </row>
    <row r="52" spans="1:34" s="1" customFormat="1" ht="24" customHeight="1">
      <c r="A52" s="38"/>
      <c r="B52" s="38"/>
      <c r="C52" s="128"/>
      <c r="D52" s="129"/>
      <c r="E52" s="130"/>
      <c r="F52" s="273"/>
      <c r="G52" s="98"/>
      <c r="H52" s="90" t="s">
        <v>11</v>
      </c>
      <c r="I52" s="90" t="s">
        <v>11</v>
      </c>
      <c r="J52" s="2819"/>
      <c r="K52" s="2820"/>
      <c r="L52" s="2821"/>
      <c r="M52" s="523"/>
      <c r="N52" s="524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463"/>
    </row>
    <row r="53" spans="1:34" s="39" customFormat="1" ht="24" customHeight="1">
      <c r="A53" s="38"/>
      <c r="B53" s="38"/>
      <c r="C53" s="124"/>
      <c r="D53" s="125"/>
      <c r="E53" s="114"/>
      <c r="F53" s="274"/>
      <c r="G53" s="115"/>
      <c r="H53" s="131"/>
      <c r="I53" s="101" t="str">
        <f t="shared" ref="I53:I70" si="0">IF(F53="","",INT(F53*H53))</f>
        <v/>
      </c>
      <c r="J53" s="64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0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0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0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74"/>
      <c r="G57" s="115"/>
      <c r="H57" s="131"/>
      <c r="I57" s="101" t="str">
        <f t="shared" si="0"/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0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/>
      <c r="B59" s="38"/>
      <c r="C59" s="124"/>
      <c r="D59" s="125"/>
      <c r="E59" s="114"/>
      <c r="F59" s="274"/>
      <c r="G59" s="115"/>
      <c r="H59" s="131"/>
      <c r="I59" s="101" t="str">
        <f t="shared" si="0"/>
        <v/>
      </c>
      <c r="J59" s="64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/>
      <c r="B60" s="38"/>
      <c r="C60" s="124"/>
      <c r="D60" s="125"/>
      <c r="E60" s="114"/>
      <c r="F60" s="274"/>
      <c r="G60" s="115"/>
      <c r="H60" s="131"/>
      <c r="I60" s="101" t="str">
        <f t="shared" si="0"/>
        <v/>
      </c>
      <c r="J60" s="64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0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0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0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0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0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0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0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0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0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s="39" customFormat="1" ht="24" customHeight="1">
      <c r="A70" s="38"/>
      <c r="B70" s="38"/>
      <c r="C70" s="124"/>
      <c r="D70" s="125"/>
      <c r="E70" s="114"/>
      <c r="F70" s="274"/>
      <c r="G70" s="115"/>
      <c r="H70" s="131"/>
      <c r="I70" s="101" t="str">
        <f t="shared" si="0"/>
        <v/>
      </c>
      <c r="J70" s="64"/>
      <c r="K70" s="65"/>
      <c r="L70" s="66"/>
      <c r="M70" s="525"/>
      <c r="N70" s="520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213"/>
    </row>
    <row r="71" spans="1:34" s="1" customFormat="1" ht="24" customHeight="1" thickBot="1">
      <c r="A71" s="38"/>
      <c r="B71" s="38"/>
      <c r="C71" s="103"/>
      <c r="D71" s="92" t="s">
        <v>8</v>
      </c>
      <c r="E71" s="104"/>
      <c r="F71" s="275"/>
      <c r="G71" s="118"/>
      <c r="H71" s="127" t="s">
        <v>88</v>
      </c>
      <c r="I71" s="105">
        <f>SUM(I53:I70)</f>
        <v>0</v>
      </c>
      <c r="J71" s="822" t="str">
        <f>IF(C52="部分撤去工事","）うち費用",")")</f>
        <v>)</v>
      </c>
      <c r="K71" s="821">
        <f>IF(C52="部分撤去工事",(K48+L71),0)</f>
        <v>0</v>
      </c>
      <c r="L71" s="820">
        <f>IF(C52="部分撤去工事",SUMIF(N53:N70,"費用",I53:I70),0)</f>
        <v>0</v>
      </c>
      <c r="M71" s="526"/>
      <c r="N71" s="527"/>
      <c r="O71" s="227"/>
      <c r="P71" s="228"/>
      <c r="Q71" s="229"/>
      <c r="R71" s="229"/>
      <c r="S71" s="229"/>
      <c r="T71" s="229"/>
      <c r="U71" s="229"/>
      <c r="V71" s="229"/>
      <c r="W71" s="229"/>
      <c r="X71" s="230"/>
      <c r="Y71" s="230"/>
      <c r="Z71" s="230"/>
      <c r="AA71" s="230"/>
      <c r="AB71" s="230"/>
      <c r="AC71" s="229"/>
      <c r="AD71" s="461"/>
      <c r="AE71" s="462"/>
      <c r="AF71" s="229"/>
      <c r="AG71" s="229"/>
      <c r="AH71" s="463"/>
    </row>
    <row r="72" spans="1:34" s="1" customFormat="1" ht="14.25" customHeight="1">
      <c r="A72" s="6"/>
      <c r="B72" s="6"/>
      <c r="E72" s="120" t="s">
        <v>86</v>
      </c>
      <c r="F72" s="121">
        <f>+F49+1</f>
        <v>1</v>
      </c>
      <c r="G72" s="122" t="s">
        <v>87</v>
      </c>
      <c r="H72" s="123">
        <f>+H49</f>
        <v>0</v>
      </c>
      <c r="I72" s="123"/>
      <c r="M72" s="33" t="str">
        <f>IF(A74="","EOL","")</f>
        <v>EOL</v>
      </c>
      <c r="N72" s="1">
        <f>+F72</f>
        <v>1</v>
      </c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34"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34"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34"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34" s="39" customFormat="1" ht="24" customHeight="1">
      <c r="A76" s="38"/>
      <c r="B76" s="38"/>
      <c r="C76" s="124"/>
      <c r="D76" s="125"/>
      <c r="E76" s="114"/>
      <c r="F76" s="274"/>
      <c r="G76" s="115"/>
      <c r="H76" s="126"/>
      <c r="I76" s="101" t="str">
        <f>IF(F76="","",ROUNDDOWN(F76*H76,0))</f>
        <v/>
      </c>
      <c r="J76" s="64"/>
      <c r="K76" s="65"/>
      <c r="L76" s="66"/>
      <c r="O76" s="227"/>
      <c r="P76" s="228"/>
      <c r="Q76" s="229"/>
      <c r="R76" s="229"/>
      <c r="S76" s="229"/>
      <c r="T76" s="229"/>
      <c r="U76" s="229"/>
      <c r="V76" s="229"/>
      <c r="W76" s="230"/>
      <c r="X76" s="230"/>
      <c r="Y76" s="230"/>
      <c r="Z76" s="230"/>
      <c r="AA76" s="232"/>
      <c r="AB76" s="231"/>
      <c r="AC76" s="229"/>
      <c r="AD76" s="229"/>
      <c r="AE76" s="229"/>
      <c r="AF76" s="229"/>
    </row>
    <row r="77" spans="1:34" s="39" customFormat="1" ht="24" customHeight="1">
      <c r="A77" s="38"/>
      <c r="B77" s="38"/>
      <c r="C77" s="124"/>
      <c r="D77" s="125" t="s">
        <v>8</v>
      </c>
      <c r="E77" s="114"/>
      <c r="F77" s="274"/>
      <c r="G77" s="115"/>
      <c r="H77" s="126" t="s">
        <v>65</v>
      </c>
      <c r="I77" s="101"/>
      <c r="J77" s="64" t="s">
        <v>66</v>
      </c>
      <c r="K77" s="65"/>
      <c r="L77" s="66"/>
      <c r="O77" s="227"/>
      <c r="P77" s="228"/>
      <c r="Q77" s="229"/>
      <c r="R77" s="229"/>
      <c r="S77" s="229"/>
      <c r="T77" s="229"/>
      <c r="U77" s="229"/>
      <c r="V77" s="229"/>
      <c r="W77" s="230"/>
      <c r="X77" s="230"/>
      <c r="Y77" s="230"/>
      <c r="Z77" s="230"/>
      <c r="AA77" s="232"/>
      <c r="AB77" s="231"/>
      <c r="AC77" s="229"/>
      <c r="AD77" s="229"/>
      <c r="AE77" s="229"/>
      <c r="AF77" s="229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26"/>
      <c r="I78" s="101"/>
      <c r="J78" s="64"/>
      <c r="K78" s="65"/>
      <c r="L78" s="66"/>
      <c r="O78" s="227"/>
      <c r="P78" s="228"/>
      <c r="Q78" s="229"/>
      <c r="R78" s="229"/>
      <c r="S78" s="229"/>
      <c r="T78" s="229"/>
      <c r="U78" s="229"/>
      <c r="V78" s="229"/>
      <c r="W78" s="230"/>
      <c r="X78" s="230"/>
      <c r="Y78" s="230"/>
      <c r="Z78" s="230"/>
      <c r="AA78" s="232"/>
      <c r="AB78" s="231"/>
      <c r="AC78" s="229"/>
      <c r="AD78" s="229"/>
      <c r="AE78" s="229"/>
      <c r="AF78" s="229"/>
    </row>
    <row r="81" spans="1:15" s="20" customFormat="1" ht="20.25" customHeight="1" thickBot="1">
      <c r="A81" s="2858" t="s">
        <v>15</v>
      </c>
      <c r="B81" s="2858"/>
      <c r="C81" s="2858"/>
      <c r="D81" s="2858"/>
      <c r="E81" s="2858"/>
      <c r="F81" s="2858"/>
      <c r="G81" s="2858"/>
      <c r="H81" s="2858"/>
      <c r="I81" s="2858"/>
      <c r="J81" s="2858"/>
      <c r="K81" s="2858"/>
      <c r="L81" s="2858"/>
      <c r="M81" s="2858"/>
      <c r="N81" s="24" t="s">
        <v>85</v>
      </c>
      <c r="O81" s="217">
        <f>+O54</f>
        <v>0</v>
      </c>
    </row>
    <row r="82" spans="1:15" s="24" customFormat="1" ht="20.25" customHeight="1">
      <c r="A82" s="21"/>
      <c r="B82" s="22" t="s">
        <v>16</v>
      </c>
      <c r="C82" s="23" t="s">
        <v>18</v>
      </c>
      <c r="D82" s="23"/>
      <c r="E82" s="75"/>
      <c r="F82" s="55"/>
      <c r="G82" s="70"/>
      <c r="H82" s="2866" t="s">
        <v>236</v>
      </c>
      <c r="I82" s="2867"/>
      <c r="J82" s="2868" t="s">
        <v>237</v>
      </c>
      <c r="K82" s="2867"/>
      <c r="L82" s="2868" t="s">
        <v>238</v>
      </c>
      <c r="M82" s="2869"/>
      <c r="N82" s="2863" t="str">
        <f>IF(G133="",IF(O106=I106,H82,IF(O106=K106,J82,L82)),N109)</f>
        <v>C:</v>
      </c>
      <c r="O82" s="2864"/>
    </row>
    <row r="83" spans="1:15" s="24" customFormat="1" ht="20.25" customHeight="1" thickBot="1">
      <c r="A83" s="25" t="s">
        <v>239</v>
      </c>
      <c r="B83" s="26" t="s">
        <v>17</v>
      </c>
      <c r="C83" s="27" t="s">
        <v>17</v>
      </c>
      <c r="D83" s="27" t="s">
        <v>19</v>
      </c>
      <c r="E83" s="76" t="s">
        <v>20</v>
      </c>
      <c r="F83" s="56" t="s">
        <v>21</v>
      </c>
      <c r="G83" s="71" t="s">
        <v>22</v>
      </c>
      <c r="H83" s="467" t="s">
        <v>23</v>
      </c>
      <c r="I83" s="468" t="s">
        <v>24</v>
      </c>
      <c r="J83" s="469" t="s">
        <v>23</v>
      </c>
      <c r="K83" s="468" t="s">
        <v>24</v>
      </c>
      <c r="L83" s="469" t="s">
        <v>23</v>
      </c>
      <c r="M83" s="468" t="s">
        <v>24</v>
      </c>
      <c r="N83" s="467" t="s">
        <v>27</v>
      </c>
      <c r="O83" s="470" t="s">
        <v>28</v>
      </c>
    </row>
    <row r="84" spans="1:15" s="20" customFormat="1" ht="20.25" customHeight="1">
      <c r="A84" s="52"/>
      <c r="B84" s="84"/>
      <c r="C84" s="85"/>
      <c r="D84" s="67"/>
      <c r="E84" s="77"/>
      <c r="F84" s="57"/>
      <c r="G84" s="72"/>
      <c r="H84" s="471"/>
      <c r="I84" s="472" t="str">
        <f t="shared" ref="I84:I105" si="1">IF(H84="","",ROUNDDOWN(H84*F84,0))</f>
        <v/>
      </c>
      <c r="J84" s="473"/>
      <c r="K84" s="472" t="str">
        <f t="shared" ref="K84:K105" si="2">IF(J84="","",ROUNDDOWN(J84*$F84,0))</f>
        <v/>
      </c>
      <c r="L84" s="473"/>
      <c r="M84" s="474" t="str">
        <f t="shared" ref="M84:M105" si="3">IF(L84="","",ROUNDDOWN(L84*$F84,0))</f>
        <v/>
      </c>
      <c r="N84" s="471" t="str">
        <f>IF(F84="","",INT(HLOOKUP(N82,H82:M105,3,FALSE)*O81))</f>
        <v/>
      </c>
      <c r="O84" s="475" t="str">
        <f t="shared" ref="O84:O105" si="4">IF(N84="","",IF(N84&lt;10,INT(N84),IF(N84&lt;10000,ROUNDDOWN(N84,-1),ROUNDDOWN(N84,-2))))</f>
        <v/>
      </c>
    </row>
    <row r="85" spans="1:15" s="20" customFormat="1" ht="20.25" customHeight="1">
      <c r="A85" s="53"/>
      <c r="B85" s="86"/>
      <c r="C85" s="87"/>
      <c r="D85" s="68"/>
      <c r="E85" s="78"/>
      <c r="F85" s="59"/>
      <c r="G85" s="73"/>
      <c r="H85" s="476"/>
      <c r="I85" s="477" t="str">
        <f t="shared" si="1"/>
        <v/>
      </c>
      <c r="J85" s="478"/>
      <c r="K85" s="477" t="str">
        <f t="shared" si="2"/>
        <v/>
      </c>
      <c r="L85" s="478"/>
      <c r="M85" s="479" t="str">
        <f t="shared" si="3"/>
        <v/>
      </c>
      <c r="N85" s="476" t="str">
        <f>IF(F85="","",INT(HLOOKUP(N82,H82:M105,4,FALSE)*O81))</f>
        <v/>
      </c>
      <c r="O85" s="480" t="str">
        <f t="shared" si="4"/>
        <v/>
      </c>
    </row>
    <row r="86" spans="1:15" s="20" customFormat="1" ht="20.25" customHeight="1">
      <c r="A86" s="53"/>
      <c r="B86" s="86"/>
      <c r="C86" s="87"/>
      <c r="D86" s="68"/>
      <c r="E86" s="78"/>
      <c r="F86" s="59"/>
      <c r="G86" s="73"/>
      <c r="H86" s="476"/>
      <c r="I86" s="477" t="str">
        <f t="shared" si="1"/>
        <v/>
      </c>
      <c r="J86" s="478"/>
      <c r="K86" s="477" t="str">
        <f t="shared" si="2"/>
        <v/>
      </c>
      <c r="L86" s="478"/>
      <c r="M86" s="479" t="str">
        <f t="shared" si="3"/>
        <v/>
      </c>
      <c r="N86" s="476" t="str">
        <f>IF(F86="","",INT(HLOOKUP(N82,H82:M105,5,FALSE)*O81))</f>
        <v/>
      </c>
      <c r="O86" s="480" t="str">
        <f t="shared" si="4"/>
        <v/>
      </c>
    </row>
    <row r="87" spans="1:15" s="20" customFormat="1" ht="20.25" customHeight="1">
      <c r="A87" s="53"/>
      <c r="B87" s="86"/>
      <c r="C87" s="87"/>
      <c r="D87" s="68"/>
      <c r="E87" s="78"/>
      <c r="F87" s="59"/>
      <c r="G87" s="73"/>
      <c r="H87" s="476"/>
      <c r="I87" s="477" t="str">
        <f t="shared" si="1"/>
        <v/>
      </c>
      <c r="J87" s="478"/>
      <c r="K87" s="477" t="str">
        <f t="shared" si="2"/>
        <v/>
      </c>
      <c r="L87" s="478"/>
      <c r="M87" s="479" t="str">
        <f t="shared" si="3"/>
        <v/>
      </c>
      <c r="N87" s="476" t="str">
        <f>IF(F87="","",INT(HLOOKUP(N82,H82:M105,6,FALSE)*O81))</f>
        <v/>
      </c>
      <c r="O87" s="480" t="str">
        <f t="shared" si="4"/>
        <v/>
      </c>
    </row>
    <row r="88" spans="1:15" s="20" customFormat="1" ht="20.25" customHeight="1">
      <c r="A88" s="53"/>
      <c r="B88" s="86"/>
      <c r="C88" s="87"/>
      <c r="D88" s="68"/>
      <c r="E88" s="78"/>
      <c r="F88" s="59"/>
      <c r="G88" s="73"/>
      <c r="H88" s="476"/>
      <c r="I88" s="477" t="str">
        <f t="shared" si="1"/>
        <v/>
      </c>
      <c r="J88" s="478"/>
      <c r="K88" s="477" t="str">
        <f t="shared" si="2"/>
        <v/>
      </c>
      <c r="L88" s="478"/>
      <c r="M88" s="479" t="str">
        <f t="shared" si="3"/>
        <v/>
      </c>
      <c r="N88" s="476" t="str">
        <f>IF(F88="","",INT(HLOOKUP(N82,H82:M105,7,FALSE)*O81))</f>
        <v/>
      </c>
      <c r="O88" s="480" t="str">
        <f t="shared" si="4"/>
        <v/>
      </c>
    </row>
    <row r="89" spans="1:15" s="20" customFormat="1" ht="20.25" customHeight="1">
      <c r="A89" s="53"/>
      <c r="B89" s="86"/>
      <c r="C89" s="87"/>
      <c r="D89" s="68"/>
      <c r="E89" s="78"/>
      <c r="F89" s="59"/>
      <c r="G89" s="73"/>
      <c r="H89" s="476"/>
      <c r="I89" s="477" t="str">
        <f t="shared" si="1"/>
        <v/>
      </c>
      <c r="J89" s="478"/>
      <c r="K89" s="477" t="str">
        <f t="shared" si="2"/>
        <v/>
      </c>
      <c r="L89" s="478"/>
      <c r="M89" s="479" t="str">
        <f t="shared" si="3"/>
        <v/>
      </c>
      <c r="N89" s="476" t="str">
        <f>IF(F89="","",INT(HLOOKUP(N82,H82:M105,8,FALSE)*O81))</f>
        <v/>
      </c>
      <c r="O89" s="480" t="str">
        <f t="shared" si="4"/>
        <v/>
      </c>
    </row>
    <row r="90" spans="1:15" s="20" customFormat="1" ht="20.25" customHeight="1">
      <c r="A90" s="53"/>
      <c r="B90" s="86"/>
      <c r="C90" s="87"/>
      <c r="D90" s="68"/>
      <c r="E90" s="78"/>
      <c r="F90" s="59"/>
      <c r="G90" s="73"/>
      <c r="H90" s="476"/>
      <c r="I90" s="477" t="str">
        <f t="shared" si="1"/>
        <v/>
      </c>
      <c r="J90" s="478"/>
      <c r="K90" s="477" t="str">
        <f t="shared" si="2"/>
        <v/>
      </c>
      <c r="L90" s="478"/>
      <c r="M90" s="479" t="str">
        <f t="shared" si="3"/>
        <v/>
      </c>
      <c r="N90" s="476" t="str">
        <f>IF(F90="","",INT(HLOOKUP(N82,H82:M105,9,FALSE)*O81))</f>
        <v/>
      </c>
      <c r="O90" s="480" t="str">
        <f t="shared" si="4"/>
        <v/>
      </c>
    </row>
    <row r="91" spans="1:15" s="20" customFormat="1" ht="20.25" customHeight="1">
      <c r="A91" s="53"/>
      <c r="B91" s="86"/>
      <c r="C91" s="87"/>
      <c r="D91" s="68"/>
      <c r="E91" s="78"/>
      <c r="F91" s="59"/>
      <c r="G91" s="73"/>
      <c r="H91" s="476"/>
      <c r="I91" s="477" t="str">
        <f t="shared" si="1"/>
        <v/>
      </c>
      <c r="J91" s="478"/>
      <c r="K91" s="477" t="str">
        <f t="shared" si="2"/>
        <v/>
      </c>
      <c r="L91" s="478"/>
      <c r="M91" s="479" t="str">
        <f t="shared" si="3"/>
        <v/>
      </c>
      <c r="N91" s="476" t="str">
        <f>IF(F91="","",INT(HLOOKUP(N82,H82:M105,10,FALSE)*O81))</f>
        <v/>
      </c>
      <c r="O91" s="480" t="str">
        <f t="shared" si="4"/>
        <v/>
      </c>
    </row>
    <row r="92" spans="1:15" s="20" customFormat="1" ht="20.25" customHeight="1">
      <c r="A92" s="53"/>
      <c r="B92" s="86"/>
      <c r="C92" s="87"/>
      <c r="D92" s="68"/>
      <c r="E92" s="78"/>
      <c r="F92" s="59"/>
      <c r="G92" s="73"/>
      <c r="H92" s="476"/>
      <c r="I92" s="477" t="str">
        <f t="shared" si="1"/>
        <v/>
      </c>
      <c r="J92" s="478"/>
      <c r="K92" s="477" t="str">
        <f t="shared" si="2"/>
        <v/>
      </c>
      <c r="L92" s="478"/>
      <c r="M92" s="479" t="str">
        <f t="shared" si="3"/>
        <v/>
      </c>
      <c r="N92" s="476" t="str">
        <f>IF(F92="","",INT(HLOOKUP(N82,H82:M105,11,FALSE)*O81))</f>
        <v/>
      </c>
      <c r="O92" s="480" t="str">
        <f t="shared" si="4"/>
        <v/>
      </c>
    </row>
    <row r="93" spans="1:15" s="20" customFormat="1" ht="20.25" customHeight="1">
      <c r="A93" s="53"/>
      <c r="B93" s="86"/>
      <c r="C93" s="87"/>
      <c r="D93" s="68"/>
      <c r="E93" s="78"/>
      <c r="F93" s="59"/>
      <c r="G93" s="73"/>
      <c r="H93" s="476"/>
      <c r="I93" s="477" t="str">
        <f t="shared" si="1"/>
        <v/>
      </c>
      <c r="J93" s="478"/>
      <c r="K93" s="477" t="str">
        <f t="shared" si="2"/>
        <v/>
      </c>
      <c r="L93" s="478"/>
      <c r="M93" s="479" t="str">
        <f t="shared" si="3"/>
        <v/>
      </c>
      <c r="N93" s="476" t="str">
        <f>IF(F93="","",INT(HLOOKUP(N82,H82:M105,12,FALSE)*O81))</f>
        <v/>
      </c>
      <c r="O93" s="480" t="str">
        <f t="shared" si="4"/>
        <v/>
      </c>
    </row>
    <row r="94" spans="1:15" s="20" customFormat="1" ht="20.25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"/>
        <v/>
      </c>
      <c r="J94" s="478"/>
      <c r="K94" s="477" t="str">
        <f t="shared" si="2"/>
        <v/>
      </c>
      <c r="L94" s="478"/>
      <c r="M94" s="479" t="str">
        <f t="shared" si="3"/>
        <v/>
      </c>
      <c r="N94" s="476" t="str">
        <f>IF(F94="","",INT(HLOOKUP(N82,H82:M105,13,FALSE)*O81))</f>
        <v/>
      </c>
      <c r="O94" s="480" t="str">
        <f t="shared" si="4"/>
        <v/>
      </c>
    </row>
    <row r="95" spans="1:15" s="20" customFormat="1" ht="20.25" customHeight="1">
      <c r="A95" s="53"/>
      <c r="B95" s="86"/>
      <c r="C95" s="87"/>
      <c r="D95" s="68"/>
      <c r="E95" s="78"/>
      <c r="F95" s="59"/>
      <c r="G95" s="73"/>
      <c r="H95" s="476"/>
      <c r="I95" s="477" t="str">
        <f t="shared" si="1"/>
        <v/>
      </c>
      <c r="J95" s="478"/>
      <c r="K95" s="477" t="str">
        <f t="shared" si="2"/>
        <v/>
      </c>
      <c r="L95" s="478"/>
      <c r="M95" s="479" t="str">
        <f t="shared" si="3"/>
        <v/>
      </c>
      <c r="N95" s="476" t="str">
        <f>IF(F95="","",INT(HLOOKUP(N82,H82:M105,14,FALSE)*O81))</f>
        <v/>
      </c>
      <c r="O95" s="480" t="str">
        <f t="shared" si="4"/>
        <v/>
      </c>
    </row>
    <row r="96" spans="1:15" s="20" customFormat="1" ht="20.25" customHeight="1">
      <c r="A96" s="53"/>
      <c r="B96" s="86"/>
      <c r="C96" s="87"/>
      <c r="D96" s="68"/>
      <c r="E96" s="78"/>
      <c r="F96" s="59"/>
      <c r="G96" s="73"/>
      <c r="H96" s="476"/>
      <c r="I96" s="477" t="str">
        <f t="shared" si="1"/>
        <v/>
      </c>
      <c r="J96" s="478"/>
      <c r="K96" s="477" t="str">
        <f t="shared" si="2"/>
        <v/>
      </c>
      <c r="L96" s="478"/>
      <c r="M96" s="479" t="str">
        <f t="shared" si="3"/>
        <v/>
      </c>
      <c r="N96" s="476" t="str">
        <f>IF(F96="","",INT(HLOOKUP(N82,H82:M105,15,FALSE)*O81))</f>
        <v/>
      </c>
      <c r="O96" s="480" t="str">
        <f t="shared" si="4"/>
        <v/>
      </c>
    </row>
    <row r="97" spans="1:20" s="20" customFormat="1" ht="20.25" customHeight="1">
      <c r="A97" s="53"/>
      <c r="B97" s="86"/>
      <c r="C97" s="87"/>
      <c r="D97" s="68"/>
      <c r="E97" s="78"/>
      <c r="F97" s="59"/>
      <c r="G97" s="73"/>
      <c r="H97" s="476"/>
      <c r="I97" s="477" t="str">
        <f t="shared" si="1"/>
        <v/>
      </c>
      <c r="J97" s="478"/>
      <c r="K97" s="477" t="str">
        <f t="shared" si="2"/>
        <v/>
      </c>
      <c r="L97" s="478"/>
      <c r="M97" s="479" t="str">
        <f t="shared" si="3"/>
        <v/>
      </c>
      <c r="N97" s="476" t="str">
        <f>IF(F97="","",INT(HLOOKUP(N82,H82:M105,16,FALSE)*O81))</f>
        <v/>
      </c>
      <c r="O97" s="480" t="str">
        <f t="shared" si="4"/>
        <v/>
      </c>
    </row>
    <row r="98" spans="1:20" s="20" customFormat="1" ht="20.25" customHeight="1">
      <c r="A98" s="53"/>
      <c r="B98" s="86"/>
      <c r="C98" s="87"/>
      <c r="D98" s="68"/>
      <c r="E98" s="78"/>
      <c r="F98" s="59"/>
      <c r="G98" s="73"/>
      <c r="H98" s="476"/>
      <c r="I98" s="477" t="str">
        <f t="shared" si="1"/>
        <v/>
      </c>
      <c r="J98" s="478"/>
      <c r="K98" s="477" t="str">
        <f t="shared" si="2"/>
        <v/>
      </c>
      <c r="L98" s="478"/>
      <c r="M98" s="479" t="str">
        <f t="shared" si="3"/>
        <v/>
      </c>
      <c r="N98" s="476" t="str">
        <f>IF(F98="","",INT(HLOOKUP(N82,H82:M105,17,FALSE)*O81))</f>
        <v/>
      </c>
      <c r="O98" s="480" t="str">
        <f t="shared" si="4"/>
        <v/>
      </c>
    </row>
    <row r="99" spans="1:20" s="20" customFormat="1" ht="20.25" customHeight="1">
      <c r="A99" s="53"/>
      <c r="B99" s="86"/>
      <c r="C99" s="87"/>
      <c r="D99" s="68"/>
      <c r="E99" s="78"/>
      <c r="F99" s="59"/>
      <c r="G99" s="73"/>
      <c r="H99" s="476"/>
      <c r="I99" s="477" t="str">
        <f t="shared" si="1"/>
        <v/>
      </c>
      <c r="J99" s="478"/>
      <c r="K99" s="477" t="str">
        <f t="shared" si="2"/>
        <v/>
      </c>
      <c r="L99" s="478"/>
      <c r="M99" s="479" t="str">
        <f t="shared" si="3"/>
        <v/>
      </c>
      <c r="N99" s="476" t="str">
        <f>IF(F99="","",INT(HLOOKUP(N82,H82:M105,18,FALSE)*O81))</f>
        <v/>
      </c>
      <c r="O99" s="480" t="str">
        <f t="shared" si="4"/>
        <v/>
      </c>
    </row>
    <row r="100" spans="1:20" s="20" customFormat="1" ht="20.25" customHeight="1">
      <c r="A100" s="53"/>
      <c r="B100" s="86"/>
      <c r="C100" s="87"/>
      <c r="D100" s="68"/>
      <c r="E100" s="78"/>
      <c r="F100" s="59"/>
      <c r="G100" s="73"/>
      <c r="H100" s="476"/>
      <c r="I100" s="477" t="str">
        <f t="shared" si="1"/>
        <v/>
      </c>
      <c r="J100" s="478"/>
      <c r="K100" s="477" t="str">
        <f t="shared" si="2"/>
        <v/>
      </c>
      <c r="L100" s="478"/>
      <c r="M100" s="479" t="str">
        <f t="shared" si="3"/>
        <v/>
      </c>
      <c r="N100" s="476" t="str">
        <f>IF(F100="","",INT(HLOOKUP(N82,H82:M105,19,FALSE)*O81))</f>
        <v/>
      </c>
      <c r="O100" s="480" t="str">
        <f t="shared" si="4"/>
        <v/>
      </c>
    </row>
    <row r="101" spans="1:20" s="20" customFormat="1" ht="20.25" customHeight="1">
      <c r="A101" s="53"/>
      <c r="B101" s="86"/>
      <c r="C101" s="87"/>
      <c r="D101" s="68"/>
      <c r="E101" s="78"/>
      <c r="F101" s="59"/>
      <c r="G101" s="73"/>
      <c r="H101" s="476"/>
      <c r="I101" s="477" t="str">
        <f t="shared" si="1"/>
        <v/>
      </c>
      <c r="J101" s="478"/>
      <c r="K101" s="477" t="str">
        <f t="shared" si="2"/>
        <v/>
      </c>
      <c r="L101" s="478"/>
      <c r="M101" s="479" t="str">
        <f t="shared" si="3"/>
        <v/>
      </c>
      <c r="N101" s="476" t="str">
        <f>IF(F101="","",INT(HLOOKUP(N82,H82:M105,20,FALSE)*O81))</f>
        <v/>
      </c>
      <c r="O101" s="480" t="str">
        <f t="shared" si="4"/>
        <v/>
      </c>
    </row>
    <row r="102" spans="1:20" s="20" customFormat="1" ht="20.25" customHeight="1">
      <c r="A102" s="53"/>
      <c r="B102" s="86"/>
      <c r="C102" s="87"/>
      <c r="D102" s="68"/>
      <c r="E102" s="78"/>
      <c r="F102" s="59"/>
      <c r="G102" s="73"/>
      <c r="H102" s="476"/>
      <c r="I102" s="477" t="str">
        <f t="shared" si="1"/>
        <v/>
      </c>
      <c r="J102" s="478"/>
      <c r="K102" s="477" t="str">
        <f t="shared" si="2"/>
        <v/>
      </c>
      <c r="L102" s="478"/>
      <c r="M102" s="479" t="str">
        <f t="shared" si="3"/>
        <v/>
      </c>
      <c r="N102" s="476" t="str">
        <f>IF(F102="","",INT(HLOOKUP(N82,H82:M105,21,FALSE)*O81))</f>
        <v/>
      </c>
      <c r="O102" s="480" t="str">
        <f t="shared" si="4"/>
        <v/>
      </c>
    </row>
    <row r="103" spans="1:20" s="20" customFormat="1" ht="20.25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"/>
        <v/>
      </c>
      <c r="J103" s="478"/>
      <c r="K103" s="477" t="str">
        <f t="shared" si="2"/>
        <v/>
      </c>
      <c r="L103" s="478"/>
      <c r="M103" s="479" t="str">
        <f t="shared" si="3"/>
        <v/>
      </c>
      <c r="N103" s="476" t="str">
        <f>IF(F103="","",INT(HLOOKUP(N82,H82:M105,22,FALSE)*O81))</f>
        <v/>
      </c>
      <c r="O103" s="480" t="str">
        <f t="shared" si="4"/>
        <v/>
      </c>
    </row>
    <row r="104" spans="1:20" s="20" customFormat="1" ht="20.25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"/>
        <v/>
      </c>
      <c r="J104" s="478"/>
      <c r="K104" s="477" t="str">
        <f t="shared" si="2"/>
        <v/>
      </c>
      <c r="L104" s="478"/>
      <c r="M104" s="479" t="str">
        <f t="shared" si="3"/>
        <v/>
      </c>
      <c r="N104" s="476" t="str">
        <f>IF(F104="","",INT(HLOOKUP(N82,H82:M105,23,FALSE)*O81))</f>
        <v/>
      </c>
      <c r="O104" s="480" t="str">
        <f t="shared" si="4"/>
        <v/>
      </c>
    </row>
    <row r="105" spans="1:20" s="20" customFormat="1" ht="20.25" customHeight="1" thickBot="1">
      <c r="A105" s="54"/>
      <c r="B105" s="88"/>
      <c r="C105" s="89"/>
      <c r="D105" s="69"/>
      <c r="E105" s="79"/>
      <c r="F105" s="60"/>
      <c r="G105" s="74"/>
      <c r="H105" s="481"/>
      <c r="I105" s="482" t="str">
        <f t="shared" si="1"/>
        <v/>
      </c>
      <c r="J105" s="483"/>
      <c r="K105" s="482" t="str">
        <f t="shared" si="2"/>
        <v/>
      </c>
      <c r="L105" s="483"/>
      <c r="M105" s="484" t="str">
        <f t="shared" si="3"/>
        <v/>
      </c>
      <c r="N105" s="481" t="str">
        <f>IF(F105="","",INT(HLOOKUP(N82,H82:M105,24,FALSE)*O81))</f>
        <v/>
      </c>
      <c r="O105" s="485" t="str">
        <f t="shared" si="4"/>
        <v/>
      </c>
    </row>
    <row r="106" spans="1:20" s="20" customFormat="1" ht="20.25" customHeight="1" thickTop="1" thickBot="1">
      <c r="A106" s="28"/>
      <c r="B106" s="29"/>
      <c r="C106" s="29"/>
      <c r="D106" s="30" t="str">
        <f>IF(G106="","合      計","")</f>
        <v>合      計</v>
      </c>
      <c r="E106" s="31" t="s">
        <v>61</v>
      </c>
      <c r="F106" s="31"/>
      <c r="G106" s="51"/>
      <c r="H106" s="486"/>
      <c r="I106" s="487" t="str">
        <f>IF($G106="",IF(SUM(I84:I105)=0,"",SUM(I84:I105)),IF(I79="","",SUM(I84:I105)+I79))</f>
        <v/>
      </c>
      <c r="J106" s="488"/>
      <c r="K106" s="487" t="str">
        <f>IF(G106="",IF(SUM(K84:K105)=0,"",SUM(K84:K105)),IF(K79="","",SUM(K84:K105)+K79))</f>
        <v/>
      </c>
      <c r="L106" s="488"/>
      <c r="M106" s="489" t="str">
        <f>IF(G106="",IF(SUM(M84:M105)=0,"",SUM(M84:M105)),IF(M79="","",SUM(M84:M105)+M79))</f>
        <v/>
      </c>
      <c r="N106" s="490" t="s">
        <v>29</v>
      </c>
      <c r="O106" s="491">
        <f>IF(G133="",MIN(I106,K106,M106),"")</f>
        <v>0</v>
      </c>
    </row>
    <row r="107" spans="1:20" s="20" customFormat="1" ht="20.25" customHeight="1">
      <c r="A107" s="24"/>
      <c r="B107" s="24"/>
      <c r="C107" s="24"/>
      <c r="G107" s="24"/>
      <c r="H107" s="32"/>
      <c r="I107" s="32"/>
      <c r="J107" s="32"/>
      <c r="K107" s="32"/>
      <c r="L107" s="32"/>
      <c r="M107" s="32"/>
      <c r="N107" s="20" t="str">
        <f>IF(B109="","EOL","")</f>
        <v>EOL</v>
      </c>
      <c r="O107" s="32">
        <f>+O80+1</f>
        <v>1</v>
      </c>
    </row>
    <row r="110" spans="1:20" s="20" customFormat="1" ht="20.25" customHeight="1" thickBot="1">
      <c r="A110" s="2858" t="s">
        <v>240</v>
      </c>
      <c r="B110" s="2858"/>
      <c r="C110" s="2858"/>
      <c r="D110" s="2858"/>
      <c r="E110" s="2858"/>
      <c r="F110" s="2858"/>
      <c r="G110" s="2858"/>
      <c r="H110" s="2858"/>
      <c r="I110" s="2858"/>
      <c r="J110" s="2858"/>
      <c r="K110" s="2858"/>
      <c r="L110" s="2858"/>
      <c r="M110" s="237" t="s">
        <v>203</v>
      </c>
      <c r="N110" s="2870" t="s">
        <v>204</v>
      </c>
      <c r="O110" s="2870"/>
      <c r="P110" s="2870"/>
      <c r="Q110" s="238"/>
      <c r="S110" s="1"/>
    </row>
    <row r="111" spans="1:20" s="24" customFormat="1" ht="20.25" customHeight="1">
      <c r="A111" s="293"/>
      <c r="B111" s="413"/>
      <c r="C111" s="413"/>
      <c r="D111" s="2871" t="s">
        <v>205</v>
      </c>
      <c r="E111" s="2871"/>
      <c r="F111" s="2871"/>
      <c r="G111" s="2871"/>
      <c r="H111" s="388"/>
      <c r="I111" s="418"/>
      <c r="J111" s="2872" t="s">
        <v>283</v>
      </c>
      <c r="K111" s="2873"/>
      <c r="L111" s="2873"/>
      <c r="M111" s="2873"/>
      <c r="N111" s="2873"/>
      <c r="O111" s="2873"/>
      <c r="P111" s="2873"/>
      <c r="Q111" s="2873"/>
      <c r="R111" s="2873"/>
      <c r="S111" s="2873"/>
      <c r="T111" s="2874"/>
    </row>
    <row r="112" spans="1:20" s="24" customFormat="1" ht="20.25" customHeight="1" thickBot="1">
      <c r="A112" s="294"/>
      <c r="B112" s="295"/>
      <c r="C112" s="295"/>
      <c r="D112" s="296"/>
      <c r="E112" s="297" t="s">
        <v>241</v>
      </c>
      <c r="F112" s="2875">
        <v>1</v>
      </c>
      <c r="G112" s="2876"/>
      <c r="H112" s="416"/>
      <c r="I112" s="417"/>
      <c r="J112" s="2877"/>
      <c r="K112" s="2878"/>
      <c r="L112" s="2878"/>
      <c r="M112" s="2878"/>
      <c r="N112" s="2878"/>
      <c r="O112" s="2878"/>
      <c r="P112" s="2878"/>
      <c r="Q112" s="2878"/>
      <c r="R112" s="2878"/>
      <c r="S112" s="2878"/>
      <c r="T112" s="2879"/>
    </row>
    <row r="113" spans="1:20" s="20" customFormat="1" ht="20.25" customHeight="1">
      <c r="A113" s="299" t="s">
        <v>242</v>
      </c>
      <c r="B113" s="300" t="s">
        <v>243</v>
      </c>
      <c r="C113" s="301" t="s">
        <v>244</v>
      </c>
      <c r="D113" s="302"/>
      <c r="E113" s="303"/>
      <c r="F113" s="303"/>
      <c r="G113" s="304"/>
      <c r="H113" s="240" t="s">
        <v>206</v>
      </c>
      <c r="I113" s="241" t="s">
        <v>207</v>
      </c>
      <c r="J113" s="242" t="s">
        <v>16</v>
      </c>
      <c r="K113" s="239" t="s">
        <v>18</v>
      </c>
      <c r="L113" s="305"/>
      <c r="M113" s="306"/>
      <c r="N113" s="307"/>
      <c r="O113" s="356"/>
      <c r="P113" s="241" t="s">
        <v>208</v>
      </c>
      <c r="Q113" s="308"/>
      <c r="R113" s="308"/>
      <c r="S113" s="388" t="s">
        <v>278</v>
      </c>
      <c r="T113" s="390" t="s">
        <v>279</v>
      </c>
    </row>
    <row r="114" spans="1:20" s="20" customFormat="1" ht="20.25" customHeight="1" thickBot="1">
      <c r="A114" s="243" t="s">
        <v>209</v>
      </c>
      <c r="B114" s="244" t="s">
        <v>17</v>
      </c>
      <c r="C114" s="245" t="s">
        <v>17</v>
      </c>
      <c r="D114" s="246" t="s">
        <v>19</v>
      </c>
      <c r="E114" s="247" t="s">
        <v>20</v>
      </c>
      <c r="F114" s="309" t="s">
        <v>21</v>
      </c>
      <c r="G114" s="310" t="s">
        <v>22</v>
      </c>
      <c r="H114" s="248" t="s">
        <v>245</v>
      </c>
      <c r="I114" s="249" t="s">
        <v>23</v>
      </c>
      <c r="J114" s="250" t="s">
        <v>17</v>
      </c>
      <c r="K114" s="244" t="s">
        <v>17</v>
      </c>
      <c r="L114" s="251" t="s">
        <v>19</v>
      </c>
      <c r="M114" s="247" t="s">
        <v>20</v>
      </c>
      <c r="N114" s="309" t="s">
        <v>21</v>
      </c>
      <c r="O114" s="247" t="s">
        <v>22</v>
      </c>
      <c r="P114" s="249" t="s">
        <v>23</v>
      </c>
      <c r="Q114" s="252" t="s">
        <v>28</v>
      </c>
      <c r="R114" s="252" t="s">
        <v>281</v>
      </c>
      <c r="S114" s="389" t="s">
        <v>280</v>
      </c>
      <c r="T114" s="252" t="s">
        <v>280</v>
      </c>
    </row>
    <row r="115" spans="1:20" s="20" customFormat="1" ht="20.25" customHeight="1">
      <c r="A115" s="253"/>
      <c r="B115" s="254"/>
      <c r="C115" s="255"/>
      <c r="D115" s="256"/>
      <c r="E115" s="257"/>
      <c r="F115" s="425"/>
      <c r="G115" s="259"/>
      <c r="H115" s="311"/>
      <c r="I115" s="260"/>
      <c r="J115" s="261"/>
      <c r="K115" s="255"/>
      <c r="L115" s="256"/>
      <c r="M115" s="257"/>
      <c r="N115" s="258"/>
      <c r="O115" s="259"/>
      <c r="P115" s="260"/>
      <c r="Q115" s="271" t="str">
        <f>IF(I115&lt;P115,IF(P115="","",IF(S136&lt;T136,R115,IF((H115+(P115-I115)*F112)&lt;10000,ROUNDDOWN(H115+(P115-I115)*F112,-1),ROUNDDOWN(H115+(P115-I115)*F112,-2)))),R115)</f>
        <v/>
      </c>
      <c r="R115" s="410" t="str">
        <f t="shared" ref="R115:R134" si="5">IF(P115="","",IF(I115&lt;&gt;"",IF((P115/I115*H115)&lt;10,INT(P115/I115*H115),IF((P115/I115*H115)&lt;10000,ROUNDDOWN(P115/I115*H115,-1),ROUNDDOWN(P115/I115*H115,-2)))))</f>
        <v/>
      </c>
      <c r="S115" s="411" t="str">
        <f>IF(P115="","",(R115*N115-H115*F115))</f>
        <v/>
      </c>
      <c r="T115" s="410" t="str">
        <f>IF(P115="","",(P115*N115-I115*F115)*F112)</f>
        <v/>
      </c>
    </row>
    <row r="116" spans="1:20" s="20" customFormat="1" ht="20.25" customHeight="1">
      <c r="A116" s="262"/>
      <c r="B116" s="263"/>
      <c r="C116" s="264"/>
      <c r="D116" s="265"/>
      <c r="E116" s="266"/>
      <c r="F116" s="426"/>
      <c r="G116" s="268"/>
      <c r="H116" s="312"/>
      <c r="I116" s="269"/>
      <c r="J116" s="270"/>
      <c r="K116" s="264"/>
      <c r="L116" s="265"/>
      <c r="M116" s="266"/>
      <c r="N116" s="267"/>
      <c r="O116" s="268"/>
      <c r="P116" s="269"/>
      <c r="Q116" s="271" t="str">
        <f>IF(I116&lt;P116,IF(P116="","",IF(S136&lt;T136,R116,IF((H116+(P116-I116)*F112)&lt;10000,ROUNDDOWN(H116+(P116-I116)*F112,-1),ROUNDDOWN(H116+(P116-I116)*F112,-2)))),R116)</f>
        <v/>
      </c>
      <c r="R116" s="410" t="str">
        <f t="shared" si="5"/>
        <v/>
      </c>
      <c r="S116" s="411" t="str">
        <f t="shared" ref="S116:S134" si="6">IF(P116="","",(R116*N116-H116*F116))</f>
        <v/>
      </c>
      <c r="T116" s="410" t="str">
        <f>IF(P116="","",(P116*N116-I116*F116)*F112)</f>
        <v/>
      </c>
    </row>
    <row r="117" spans="1:20" s="20" customFormat="1" ht="20.25" customHeight="1">
      <c r="A117" s="262"/>
      <c r="B117" s="263"/>
      <c r="C117" s="264"/>
      <c r="D117" s="265"/>
      <c r="E117" s="266"/>
      <c r="F117" s="426"/>
      <c r="G117" s="268"/>
      <c r="H117" s="312"/>
      <c r="I117" s="269"/>
      <c r="J117" s="270"/>
      <c r="K117" s="264"/>
      <c r="L117" s="265"/>
      <c r="M117" s="266"/>
      <c r="N117" s="267"/>
      <c r="O117" s="268"/>
      <c r="P117" s="269"/>
      <c r="Q117" s="271" t="str">
        <f>IF(I117&lt;P117,IF(P117="","",IF(S136&lt;T136,R117,IF((H117+(P117-I117)*F112)&lt;10000,ROUNDDOWN(H117+(P117-I117)*F112,-1),ROUNDDOWN(H117+(P117-I117)*F112,-2)))),R117)</f>
        <v/>
      </c>
      <c r="R117" s="410" t="str">
        <f t="shared" si="5"/>
        <v/>
      </c>
      <c r="S117" s="411" t="str">
        <f t="shared" si="6"/>
        <v/>
      </c>
      <c r="T117" s="410" t="str">
        <f>IF(P117="","",(P117*N117-I117*F117)*F112)</f>
        <v/>
      </c>
    </row>
    <row r="118" spans="1:20" s="20" customFormat="1" ht="20.25" customHeight="1">
      <c r="A118" s="262"/>
      <c r="B118" s="263"/>
      <c r="C118" s="264"/>
      <c r="D118" s="265"/>
      <c r="E118" s="266"/>
      <c r="F118" s="426"/>
      <c r="G118" s="268"/>
      <c r="H118" s="312"/>
      <c r="I118" s="269"/>
      <c r="J118" s="270"/>
      <c r="K118" s="264"/>
      <c r="L118" s="265"/>
      <c r="M118" s="266"/>
      <c r="N118" s="267"/>
      <c r="O118" s="268"/>
      <c r="P118" s="269"/>
      <c r="Q118" s="271" t="str">
        <f>IF(I118&lt;P118,IF(P118="","",IF(S136&lt;T136,R118,IF((H118+(P118-I118)*F112)&lt;10000,ROUNDDOWN(H118+(P118-I118)*F112,-1),ROUNDDOWN(H118+(P118-I118)*F112,-2)))),R118)</f>
        <v/>
      </c>
      <c r="R118" s="410" t="str">
        <f t="shared" si="5"/>
        <v/>
      </c>
      <c r="S118" s="411" t="str">
        <f t="shared" si="6"/>
        <v/>
      </c>
      <c r="T118" s="410" t="str">
        <f>IF(P118="","",(P118*N118-I118*F118)*F112)</f>
        <v/>
      </c>
    </row>
    <row r="119" spans="1:20" s="20" customFormat="1" ht="20.25" customHeight="1">
      <c r="A119" s="262"/>
      <c r="B119" s="263"/>
      <c r="C119" s="264"/>
      <c r="D119" s="265"/>
      <c r="E119" s="266"/>
      <c r="F119" s="426"/>
      <c r="G119" s="268"/>
      <c r="H119" s="312"/>
      <c r="I119" s="269"/>
      <c r="J119" s="270"/>
      <c r="K119" s="264"/>
      <c r="L119" s="265"/>
      <c r="M119" s="266"/>
      <c r="N119" s="267"/>
      <c r="O119" s="268"/>
      <c r="P119" s="269"/>
      <c r="Q119" s="271" t="str">
        <f>IF(I119&lt;P119,IF(P119="","",IF(S136&lt;T136,R119,IF((H119+(P119-I119)*F112)&lt;10000,ROUNDDOWN(H119+(P119-I119)*F112,-1),ROUNDDOWN(H119+(P119-I119)*F112,-2)))),R119)</f>
        <v/>
      </c>
      <c r="R119" s="410" t="str">
        <f t="shared" si="5"/>
        <v/>
      </c>
      <c r="S119" s="411" t="str">
        <f t="shared" si="6"/>
        <v/>
      </c>
      <c r="T119" s="410" t="str">
        <f>IF(P119="","",(P119*N119-I119*F119)*F112)</f>
        <v/>
      </c>
    </row>
    <row r="120" spans="1:20" s="20" customFormat="1" ht="20.25" customHeight="1">
      <c r="A120" s="262"/>
      <c r="B120" s="263"/>
      <c r="C120" s="264"/>
      <c r="D120" s="265"/>
      <c r="E120" s="266"/>
      <c r="F120" s="426"/>
      <c r="G120" s="268"/>
      <c r="H120" s="312"/>
      <c r="I120" s="269"/>
      <c r="J120" s="270"/>
      <c r="K120" s="264"/>
      <c r="L120" s="265"/>
      <c r="M120" s="266"/>
      <c r="N120" s="267"/>
      <c r="O120" s="268"/>
      <c r="P120" s="269"/>
      <c r="Q120" s="271" t="str">
        <f>IF(I120&lt;P120,IF(P120="","",IF(S136&lt;T136,R120,IF((H120+(P120-I120)*F112)&lt;10000,ROUNDDOWN(H120+(P120-I120)*F112,-1),ROUNDDOWN(H120+(P120-I120)*F112,-2)))),R120)</f>
        <v/>
      </c>
      <c r="R120" s="410" t="str">
        <f t="shared" si="5"/>
        <v/>
      </c>
      <c r="S120" s="411" t="str">
        <f t="shared" si="6"/>
        <v/>
      </c>
      <c r="T120" s="410" t="str">
        <f>IF(P120="","",(P120*N120-I120*F120)*F112)</f>
        <v/>
      </c>
    </row>
    <row r="121" spans="1:20" s="20" customFormat="1" ht="20.25" customHeight="1">
      <c r="A121" s="262"/>
      <c r="B121" s="263"/>
      <c r="C121" s="264"/>
      <c r="D121" s="265"/>
      <c r="E121" s="266"/>
      <c r="F121" s="426"/>
      <c r="G121" s="268"/>
      <c r="H121" s="312"/>
      <c r="I121" s="269"/>
      <c r="J121" s="270"/>
      <c r="K121" s="264"/>
      <c r="L121" s="265"/>
      <c r="M121" s="266"/>
      <c r="N121" s="267"/>
      <c r="O121" s="268"/>
      <c r="P121" s="269"/>
      <c r="Q121" s="271" t="str">
        <f>IF(I121&lt;P121,IF(P121="","",IF(S136&lt;T136,R121,IF((H121+(P121-I121)*F112)&lt;10000,ROUNDDOWN(H121+(P121-I121)*F112,-1),ROUNDDOWN(H121+(P121-I121)*F112,-2)))),R121)</f>
        <v/>
      </c>
      <c r="R121" s="410" t="str">
        <f t="shared" si="5"/>
        <v/>
      </c>
      <c r="S121" s="411" t="str">
        <f t="shared" si="6"/>
        <v/>
      </c>
      <c r="T121" s="410" t="str">
        <f>IF(P121="","",(P121*N121-I121*F121)*F112)</f>
        <v/>
      </c>
    </row>
    <row r="122" spans="1:20" s="20" customFormat="1" ht="20.25" customHeight="1">
      <c r="A122" s="262"/>
      <c r="B122" s="263"/>
      <c r="C122" s="264"/>
      <c r="D122" s="265"/>
      <c r="E122" s="266"/>
      <c r="F122" s="426"/>
      <c r="G122" s="268"/>
      <c r="H122" s="312"/>
      <c r="I122" s="269"/>
      <c r="J122" s="270"/>
      <c r="K122" s="264"/>
      <c r="L122" s="265"/>
      <c r="M122" s="266"/>
      <c r="N122" s="267"/>
      <c r="O122" s="268"/>
      <c r="P122" s="269"/>
      <c r="Q122" s="271" t="str">
        <f>IF(I122&lt;P122,IF(P122="","",IF(S136&lt;T136,R122,IF((H122+(P122-I122)*F112)&lt;10000,ROUNDDOWN(H122+(P122-I122)*F112,-1),ROUNDDOWN(H122+(P122-I122)*F112,-2)))),R122)</f>
        <v/>
      </c>
      <c r="R122" s="410" t="str">
        <f t="shared" si="5"/>
        <v/>
      </c>
      <c r="S122" s="411" t="str">
        <f t="shared" si="6"/>
        <v/>
      </c>
      <c r="T122" s="410" t="str">
        <f>IF(P122="","",(P122*N122-I122*F122)*F112)</f>
        <v/>
      </c>
    </row>
    <row r="123" spans="1:20" s="20" customFormat="1" ht="20.25" customHeight="1">
      <c r="A123" s="262"/>
      <c r="B123" s="263"/>
      <c r="C123" s="264"/>
      <c r="D123" s="265"/>
      <c r="E123" s="266"/>
      <c r="F123" s="426"/>
      <c r="G123" s="268"/>
      <c r="H123" s="312"/>
      <c r="I123" s="269"/>
      <c r="J123" s="270"/>
      <c r="K123" s="264"/>
      <c r="L123" s="265"/>
      <c r="M123" s="266"/>
      <c r="N123" s="267"/>
      <c r="O123" s="268"/>
      <c r="P123" s="269"/>
      <c r="Q123" s="271" t="str">
        <f>IF(I123&lt;P123,IF(P123="","",IF(S136&lt;T136,R123,IF((H123+(P123-I123)*F112)&lt;10000,ROUNDDOWN(H123+(P123-I123)*F112,-1),ROUNDDOWN(H123+(P123-I123)*F112,-2)))),R123)</f>
        <v/>
      </c>
      <c r="R123" s="410" t="str">
        <f t="shared" si="5"/>
        <v/>
      </c>
      <c r="S123" s="411" t="str">
        <f t="shared" si="6"/>
        <v/>
      </c>
      <c r="T123" s="410" t="str">
        <f>IF(P123="","",(P123*N123-I123*F123)*F122)</f>
        <v/>
      </c>
    </row>
    <row r="124" spans="1:20" s="20" customFormat="1" ht="20.25" customHeight="1">
      <c r="A124" s="262"/>
      <c r="B124" s="263"/>
      <c r="C124" s="264"/>
      <c r="D124" s="265"/>
      <c r="E124" s="266"/>
      <c r="F124" s="426"/>
      <c r="G124" s="268"/>
      <c r="H124" s="312"/>
      <c r="I124" s="269"/>
      <c r="J124" s="270"/>
      <c r="K124" s="264"/>
      <c r="L124" s="265"/>
      <c r="M124" s="266"/>
      <c r="N124" s="267"/>
      <c r="O124" s="268"/>
      <c r="P124" s="269"/>
      <c r="Q124" s="271" t="str">
        <f>IF(I124&lt;P124,IF(P124="","",IF(S136&lt;T136,R124,IF((H124+(P124-I124)*F112)&lt;10000,ROUNDDOWN(H124+(P124-I124)*F112,-1),ROUNDDOWN(H124+(P124-I124)*F112,-2)))),R124)</f>
        <v/>
      </c>
      <c r="R124" s="410" t="str">
        <f t="shared" si="5"/>
        <v/>
      </c>
      <c r="S124" s="411" t="str">
        <f t="shared" si="6"/>
        <v/>
      </c>
      <c r="T124" s="410" t="str">
        <f>IF(P124="","",(P124*N124-I124*F124)*F112)</f>
        <v/>
      </c>
    </row>
    <row r="125" spans="1:20" s="20" customFormat="1" ht="20.25" customHeight="1">
      <c r="A125" s="262"/>
      <c r="B125" s="263"/>
      <c r="C125" s="264"/>
      <c r="D125" s="265"/>
      <c r="E125" s="266"/>
      <c r="F125" s="426"/>
      <c r="G125" s="268"/>
      <c r="H125" s="312"/>
      <c r="I125" s="269"/>
      <c r="J125" s="270"/>
      <c r="K125" s="264"/>
      <c r="L125" s="265"/>
      <c r="M125" s="266"/>
      <c r="N125" s="267"/>
      <c r="O125" s="268"/>
      <c r="P125" s="269"/>
      <c r="Q125" s="271" t="str">
        <f>IF(I125&lt;P125,IF(P125="","",IF(S136&lt;T136,R125,IF((H125+(P125-I125)*F112)&lt;10000,ROUNDDOWN(H125+(P125-I125)*F112,-1),ROUNDDOWN(H125+(P125-I125)*F112,-2)))),R125)</f>
        <v/>
      </c>
      <c r="R125" s="410" t="str">
        <f t="shared" si="5"/>
        <v/>
      </c>
      <c r="S125" s="411" t="str">
        <f t="shared" si="6"/>
        <v/>
      </c>
      <c r="T125" s="410" t="str">
        <f>IF(P125="","",(P125*N125-I125*F125)*F112)</f>
        <v/>
      </c>
    </row>
    <row r="126" spans="1:20" s="20" customFormat="1" ht="20.25" customHeight="1">
      <c r="A126" s="262"/>
      <c r="B126" s="263"/>
      <c r="C126" s="264"/>
      <c r="D126" s="265"/>
      <c r="E126" s="266"/>
      <c r="F126" s="426"/>
      <c r="G126" s="268"/>
      <c r="H126" s="312"/>
      <c r="I126" s="269"/>
      <c r="J126" s="270"/>
      <c r="K126" s="264"/>
      <c r="L126" s="265"/>
      <c r="M126" s="266"/>
      <c r="N126" s="267"/>
      <c r="O126" s="268"/>
      <c r="P126" s="269"/>
      <c r="Q126" s="271" t="str">
        <f>IF(I126&lt;P126,IF(P126="","",IF(S136&lt;T136,R126,IF((H126+(P126-I126)*F112)&lt;10000,ROUNDDOWN(H126+(P126-I126)*F112,-1),ROUNDDOWN(H126+(P126-I126)*F112,-2)))),R126)</f>
        <v/>
      </c>
      <c r="R126" s="410" t="str">
        <f t="shared" si="5"/>
        <v/>
      </c>
      <c r="S126" s="411" t="str">
        <f t="shared" si="6"/>
        <v/>
      </c>
      <c r="T126" s="410" t="str">
        <f>IF(P126="","",(P126*N126-I126*F126)*F112)</f>
        <v/>
      </c>
    </row>
    <row r="127" spans="1:20" s="20" customFormat="1" ht="20.25" customHeight="1">
      <c r="A127" s="262"/>
      <c r="B127" s="263"/>
      <c r="C127" s="264"/>
      <c r="D127" s="265"/>
      <c r="E127" s="266"/>
      <c r="F127" s="426"/>
      <c r="G127" s="268"/>
      <c r="H127" s="312"/>
      <c r="I127" s="269"/>
      <c r="J127" s="270"/>
      <c r="K127" s="264"/>
      <c r="L127" s="265"/>
      <c r="M127" s="266"/>
      <c r="N127" s="267"/>
      <c r="O127" s="268"/>
      <c r="P127" s="269"/>
      <c r="Q127" s="271" t="str">
        <f>IF(I127&lt;P127,IF(P127="","",IF(S136&lt;T136,R127,IF((H127+(P127-I127)*F112)&lt;10000,ROUNDDOWN(H127+(P127-I127)*F112,-1),ROUNDDOWN(H127+(P127-I127)*F112,-2)))),R127)</f>
        <v/>
      </c>
      <c r="R127" s="410" t="str">
        <f t="shared" si="5"/>
        <v/>
      </c>
      <c r="S127" s="411" t="str">
        <f t="shared" si="6"/>
        <v/>
      </c>
      <c r="T127" s="410" t="str">
        <f>IF(P127="","",(P127*N127-I127*F127)*F112)</f>
        <v/>
      </c>
    </row>
    <row r="128" spans="1:20" s="20" customFormat="1" ht="20.25" customHeight="1">
      <c r="A128" s="262"/>
      <c r="B128" s="263"/>
      <c r="C128" s="264"/>
      <c r="D128" s="265"/>
      <c r="E128" s="266"/>
      <c r="F128" s="426"/>
      <c r="G128" s="268"/>
      <c r="H128" s="312"/>
      <c r="I128" s="269"/>
      <c r="J128" s="270"/>
      <c r="K128" s="264"/>
      <c r="L128" s="265"/>
      <c r="M128" s="266"/>
      <c r="N128" s="267"/>
      <c r="O128" s="268"/>
      <c r="P128" s="269"/>
      <c r="Q128" s="271" t="str">
        <f>IF(I128&lt;P128,IF(P128="","",IF(S136&lt;T136,R128,IF((H128+(P128-I128)*F112)&lt;10000,ROUNDDOWN(H128+(P128-I128)*F112,-1),ROUNDDOWN(H128+(P128-I128)*F112,-2)))),R128)</f>
        <v/>
      </c>
      <c r="R128" s="410" t="str">
        <f t="shared" si="5"/>
        <v/>
      </c>
      <c r="S128" s="411" t="str">
        <f t="shared" si="6"/>
        <v/>
      </c>
      <c r="T128" s="410" t="str">
        <f>IF(P128="","",(P128*N128-I128*F128)*F112)</f>
        <v/>
      </c>
    </row>
    <row r="129" spans="1:20" s="20" customFormat="1" ht="20.25" customHeight="1">
      <c r="A129" s="262"/>
      <c r="B129" s="263"/>
      <c r="C129" s="264"/>
      <c r="D129" s="265"/>
      <c r="E129" s="266"/>
      <c r="F129" s="426"/>
      <c r="G129" s="268"/>
      <c r="H129" s="312"/>
      <c r="I129" s="269"/>
      <c r="J129" s="270"/>
      <c r="K129" s="264"/>
      <c r="L129" s="265"/>
      <c r="M129" s="266"/>
      <c r="N129" s="267"/>
      <c r="O129" s="268"/>
      <c r="P129" s="269"/>
      <c r="Q129" s="271" t="str">
        <f>IF(I129&lt;P129,IF(P129="","",IF(S136&lt;T136,R129,IF((H129+(P129-I129)*F112)&lt;10000,ROUNDDOWN(H129+(P129-I129)*F112,-1),ROUNDDOWN(H129+(P129-I129)*F112,-2)))),R129)</f>
        <v/>
      </c>
      <c r="R129" s="410" t="str">
        <f t="shared" si="5"/>
        <v/>
      </c>
      <c r="S129" s="411" t="str">
        <f t="shared" si="6"/>
        <v/>
      </c>
      <c r="T129" s="410" t="str">
        <f>IF(P129="","",(P129*N129-I129*F129)*F112)</f>
        <v/>
      </c>
    </row>
    <row r="130" spans="1:20" s="20" customFormat="1" ht="20.25" customHeight="1">
      <c r="A130" s="262"/>
      <c r="B130" s="263"/>
      <c r="C130" s="264"/>
      <c r="D130" s="265"/>
      <c r="E130" s="266"/>
      <c r="F130" s="426"/>
      <c r="G130" s="268"/>
      <c r="H130" s="312"/>
      <c r="I130" s="269"/>
      <c r="J130" s="270"/>
      <c r="K130" s="264"/>
      <c r="L130" s="265"/>
      <c r="M130" s="266"/>
      <c r="N130" s="267"/>
      <c r="O130" s="268"/>
      <c r="P130" s="269"/>
      <c r="Q130" s="271" t="str">
        <f>IF(I130&lt;P130,IF(P130="","",IF(S136&lt;T136,R130,IF((H130+(P130-I130)*F112)&lt;10000,ROUNDDOWN(H130+(P130-I130)*F112,-1),ROUNDDOWN(H130+(P130-I130)*F112,-2)))),R130)</f>
        <v/>
      </c>
      <c r="R130" s="410" t="str">
        <f t="shared" si="5"/>
        <v/>
      </c>
      <c r="S130" s="411" t="str">
        <f t="shared" si="6"/>
        <v/>
      </c>
      <c r="T130" s="410" t="str">
        <f>IF(P130="","",(P130*N130-I130*F130)*F112)</f>
        <v/>
      </c>
    </row>
    <row r="131" spans="1:20" s="20" customFormat="1" ht="20.25" customHeight="1">
      <c r="A131" s="262"/>
      <c r="B131" s="263"/>
      <c r="C131" s="264"/>
      <c r="D131" s="265"/>
      <c r="E131" s="266"/>
      <c r="F131" s="426"/>
      <c r="G131" s="268"/>
      <c r="H131" s="312"/>
      <c r="I131" s="269"/>
      <c r="J131" s="270"/>
      <c r="K131" s="264"/>
      <c r="L131" s="265"/>
      <c r="M131" s="266"/>
      <c r="N131" s="267"/>
      <c r="O131" s="268"/>
      <c r="P131" s="269"/>
      <c r="Q131" s="271" t="str">
        <f>IF(I131&lt;P131,IF(P131="","",IF(S136&lt;T136,R131,IF((H131+(P131-I131)*F112)&lt;10000,ROUNDDOWN(H131+(P131-I131)*F112,-1),ROUNDDOWN(H131+(P131-I131)*F112,-2)))),R131)</f>
        <v/>
      </c>
      <c r="R131" s="410" t="str">
        <f t="shared" si="5"/>
        <v/>
      </c>
      <c r="S131" s="411" t="str">
        <f t="shared" si="6"/>
        <v/>
      </c>
      <c r="T131" s="410" t="str">
        <f>IF(P131="","",(P131*N131-I131*F131)*F112)</f>
        <v/>
      </c>
    </row>
    <row r="132" spans="1:20" s="20" customFormat="1" ht="20.25" customHeight="1">
      <c r="A132" s="262"/>
      <c r="B132" s="263"/>
      <c r="C132" s="264"/>
      <c r="D132" s="265"/>
      <c r="E132" s="266"/>
      <c r="F132" s="426"/>
      <c r="G132" s="268"/>
      <c r="H132" s="312"/>
      <c r="I132" s="269"/>
      <c r="J132" s="270"/>
      <c r="K132" s="264"/>
      <c r="L132" s="265"/>
      <c r="M132" s="266"/>
      <c r="N132" s="267"/>
      <c r="O132" s="268"/>
      <c r="P132" s="269"/>
      <c r="Q132" s="271" t="str">
        <f>IF(I132&lt;P132,IF(P132="","",IF(S136&lt;T136,R132,IF((H132+(P132-I132)*F112)&lt;10000,ROUNDDOWN(H132+(P132-I132)*F112,-1),ROUNDDOWN(H132+(P132-I132)*F112,-2)))),R132)</f>
        <v/>
      </c>
      <c r="R132" s="410" t="str">
        <f t="shared" si="5"/>
        <v/>
      </c>
      <c r="S132" s="411" t="str">
        <f t="shared" si="6"/>
        <v/>
      </c>
      <c r="T132" s="410" t="str">
        <f>IF(P132="","",(P132*N132-I132*F132)*F112)</f>
        <v/>
      </c>
    </row>
    <row r="133" spans="1:20" s="20" customFormat="1" ht="20.25" customHeight="1">
      <c r="A133" s="262"/>
      <c r="B133" s="263"/>
      <c r="C133" s="264"/>
      <c r="D133" s="265"/>
      <c r="E133" s="266"/>
      <c r="F133" s="426"/>
      <c r="G133" s="268"/>
      <c r="H133" s="312"/>
      <c r="I133" s="269"/>
      <c r="J133" s="270"/>
      <c r="K133" s="264"/>
      <c r="L133" s="265"/>
      <c r="M133" s="266"/>
      <c r="N133" s="267"/>
      <c r="O133" s="268"/>
      <c r="P133" s="269"/>
      <c r="Q133" s="271" t="str">
        <f>IF(I133&lt;P133,IF(P133="","",IF(S136&lt;T136,R133,IF((H133+(P133-I133)*F112)&lt;10000,ROUNDDOWN(H133+(P133-I133)*F112,-1),ROUNDDOWN(H133+(P133-I133)*F112,-2)))),R133)</f>
        <v/>
      </c>
      <c r="R133" s="410" t="str">
        <f t="shared" si="5"/>
        <v/>
      </c>
      <c r="S133" s="411" t="str">
        <f t="shared" si="6"/>
        <v/>
      </c>
      <c r="T133" s="410" t="str">
        <f>IF(P133="","",(P133*N133-I133*F133)*F112)</f>
        <v/>
      </c>
    </row>
    <row r="134" spans="1:20" s="20" customFormat="1" ht="20.25" customHeight="1" thickBot="1">
      <c r="A134" s="391"/>
      <c r="B134" s="392"/>
      <c r="C134" s="393"/>
      <c r="D134" s="394"/>
      <c r="E134" s="395"/>
      <c r="F134" s="427"/>
      <c r="G134" s="397"/>
      <c r="H134" s="298"/>
      <c r="I134" s="398"/>
      <c r="J134" s="399"/>
      <c r="K134" s="393"/>
      <c r="L134" s="394"/>
      <c r="M134" s="395"/>
      <c r="N134" s="396"/>
      <c r="O134" s="397"/>
      <c r="P134" s="398"/>
      <c r="Q134" s="271" t="str">
        <f>IF(I134&lt;P134,IF(P134="","",IF(S136&lt;T136,R134,IF((H134+(P134-I134)*F112)&lt;10000,ROUNDDOWN(H134+(P134-I134)*F112,-1),ROUNDDOWN(H134+(P134-I134)*F112,-2)))),R134)</f>
        <v/>
      </c>
      <c r="R134" s="412" t="str">
        <f t="shared" si="5"/>
        <v/>
      </c>
      <c r="S134" s="411" t="str">
        <f t="shared" si="6"/>
        <v/>
      </c>
      <c r="T134" s="410" t="str">
        <f>IF(P134="","",(P134*N134-I134*F134)*F112)</f>
        <v/>
      </c>
    </row>
    <row r="135" spans="1:20" s="20" customFormat="1" ht="20.25" customHeight="1" thickBot="1">
      <c r="A135" s="400"/>
      <c r="B135" s="401"/>
      <c r="C135" s="401"/>
      <c r="D135" s="402"/>
      <c r="E135" s="402"/>
      <c r="F135" s="402"/>
      <c r="G135" s="403"/>
      <c r="H135" s="404"/>
      <c r="I135" s="405"/>
      <c r="J135" s="401"/>
      <c r="K135" s="401"/>
      <c r="L135" s="402"/>
      <c r="M135" s="420"/>
      <c r="N135" s="422"/>
      <c r="O135" s="422"/>
      <c r="P135" s="423" t="s">
        <v>284</v>
      </c>
      <c r="Q135" s="419"/>
      <c r="R135" s="406" t="s">
        <v>282</v>
      </c>
      <c r="S135" s="407" t="str">
        <f>IF($Q135="",IF(SUM(S115:S134)=0,"",SUM(S115:S134)),IF(S108="","",SUM(S115:S134)+S108))</f>
        <v/>
      </c>
      <c r="T135" s="408" t="str">
        <f>IF($Q135="",IF(SUM(T115:T134)=0,"",SUM(T115:T134)),IF(T108="","",SUM(T115:T134)+T108))</f>
        <v/>
      </c>
    </row>
    <row r="136" spans="1:20" s="20" customFormat="1" ht="20.25" customHeight="1" thickBot="1">
      <c r="A136" s="24"/>
      <c r="B136" s="24"/>
      <c r="C136" s="24"/>
      <c r="G136" s="24"/>
      <c r="H136" s="32"/>
      <c r="I136" s="32"/>
      <c r="J136" s="24"/>
      <c r="K136" s="24"/>
      <c r="N136" s="20" t="str">
        <f>IF(A140="","EOL","")</f>
        <v>EOL</v>
      </c>
      <c r="O136" s="32">
        <f ca="1">OFFSET(O136,-27,0,1,1)+1</f>
        <v>1</v>
      </c>
      <c r="Q136" s="32"/>
      <c r="R136" s="406" t="s">
        <v>285</v>
      </c>
      <c r="S136" s="407" t="str">
        <f ca="1">IF(OFFSET(Q135,27,0,1,1)="",S135,OFFSET(S135,27,0,1,1))</f>
        <v/>
      </c>
      <c r="T136" s="408" t="str">
        <f ca="1">IF(OFFSET(Q135,27,0,1,1)="",T135,OFFSET(T135,27,0,1,1))</f>
        <v/>
      </c>
    </row>
  </sheetData>
  <mergeCells count="15">
    <mergeCell ref="D111:G111"/>
    <mergeCell ref="F112:G112"/>
    <mergeCell ref="N82:O82"/>
    <mergeCell ref="L82:M82"/>
    <mergeCell ref="H82:I82"/>
    <mergeCell ref="J82:K82"/>
    <mergeCell ref="A110:L110"/>
    <mergeCell ref="N110:P110"/>
    <mergeCell ref="J111:T111"/>
    <mergeCell ref="J112:T112"/>
    <mergeCell ref="J52:L52"/>
    <mergeCell ref="C50:L50"/>
    <mergeCell ref="A81:M81"/>
    <mergeCell ref="J51:L51"/>
    <mergeCell ref="O50:AH50"/>
  </mergeCells>
  <phoneticPr fontId="2"/>
  <dataValidations count="45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112" xr:uid="{00000000-0002-0000-1900-000000000000}">
      <formula1>IF(SUM(H115:I135)&gt;0,H112=0,TRUE)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5" xr:uid="{00000000-0002-0000-1900-000001000000}">
      <formula1>IF(SUM(H112:I112)&gt;0,H115=0,TRUE)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5" xr:uid="{00000000-0002-0000-1900-000002000000}">
      <formula1>IF(SUM(H112:I112)&gt;0,I115=0,TRUE)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6" xr:uid="{00000000-0002-0000-1900-000003000000}">
      <formula1>IF(SUM(H112:I112)&gt;0,H116=0,TRUE)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6" xr:uid="{00000000-0002-0000-1900-000004000000}">
      <formula1>IF(SUM(H112:I112)&gt;0,I116=0,TRUE)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7" xr:uid="{00000000-0002-0000-1900-000005000000}">
      <formula1>IF(SUM(H112:I112)&gt;0,I117=0,TRUE)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7" xr:uid="{00000000-0002-0000-1900-000006000000}">
      <formula1>IF(SUM(H112:I112)&gt;0,H117=0,TRUE)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8" xr:uid="{00000000-0002-0000-1900-000007000000}">
      <formula1>IF(SUM(H112:I112)&gt;0,H118=0,TRUE)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8" xr:uid="{00000000-0002-0000-1900-000008000000}">
      <formula1>IF(SUM(H112:I112)&gt;0,I118=0,TRUE)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9" xr:uid="{00000000-0002-0000-1900-000009000000}">
      <formula1>IF(SUM(H112:I112)&gt;0,H119=0,TRUE)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9" xr:uid="{00000000-0002-0000-1900-00000A000000}">
      <formula1>IF(SUM(H112:I112)&gt;0,I119=0,TRUE)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0" xr:uid="{00000000-0002-0000-1900-00000B000000}">
      <formula1>IF(SUM(H112:I112)&gt;0,H120=0,TRUE)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0" xr:uid="{00000000-0002-0000-1900-00000C000000}">
      <formula1>IF(SUM(H112:I112)&gt;0,I120=0,TRUE)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1" xr:uid="{00000000-0002-0000-1900-00000D000000}">
      <formula1>IF(SUM(H112:I112)&gt;0,H121=0,TRUE)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1" xr:uid="{00000000-0002-0000-1900-00000E000000}">
      <formula1>IF(SUM(H112:I112)&gt;0,I121=0,TRUE)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2" xr:uid="{00000000-0002-0000-1900-00000F000000}">
      <formula1>IF(SUM(H112:I112)&gt;0,H122=0,TRUE)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2" xr:uid="{00000000-0002-0000-1900-000010000000}">
      <formula1>IF(SUM(H112:I112)&gt;0,I122=0,TRUE)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3" xr:uid="{00000000-0002-0000-1900-000011000000}">
      <formula1>IF(SUM(H112:I112)&gt;0,H123=0,TRUE)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3" xr:uid="{00000000-0002-0000-1900-000012000000}">
      <formula1>IF(SUM(H112:I112)&gt;0,I123=0,TRUE)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4" xr:uid="{00000000-0002-0000-1900-000013000000}">
      <formula1>IF(SUM(H112:I112)&gt;0,H124=0,TRUE)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4" xr:uid="{00000000-0002-0000-1900-000014000000}">
      <formula1>IF(SUM(H112:I112)&gt;0,I124=0,TRUE)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5" xr:uid="{00000000-0002-0000-1900-000015000000}">
      <formula1>IF(SUM(H112:I112)&gt;0,H125=0,TRUE)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5" xr:uid="{00000000-0002-0000-1900-000016000000}">
      <formula1>IF(SUM(H112:I112)&gt;0,I125=0,TRUE)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6" xr:uid="{00000000-0002-0000-1900-000017000000}">
      <formula1>IF(SUM(H112:I112)&gt;0,H126=0,TRUE)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6" xr:uid="{00000000-0002-0000-1900-000018000000}">
      <formula1>IF(SUM(H112:I112)&gt;0,I126=0,TRUE)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7" xr:uid="{00000000-0002-0000-1900-000019000000}">
      <formula1>IF(SUM(H112:I112)&gt;0,H127=0,TRUE)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7" xr:uid="{00000000-0002-0000-1900-00001A000000}">
      <formula1>IF(SUM(H112:I112)&gt;0,I127=0,TRUE)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8" xr:uid="{00000000-0002-0000-1900-00001B000000}">
      <formula1>IF(SUM(H112:I112)&gt;0,H128=0,TRUE)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8" xr:uid="{00000000-0002-0000-1900-00001C000000}">
      <formula1>IF(SUM(H112:I112)&gt;0,I128=0,TRUE)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9" xr:uid="{00000000-0002-0000-1900-00001D000000}">
      <formula1>IF(SUM(H112:I112)&gt;0,H129=0,TRUE)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9" xr:uid="{00000000-0002-0000-1900-00001E000000}">
      <formula1>IF(SUM(H112:I112)&gt;0,I129=0,TRUE)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0" xr:uid="{00000000-0002-0000-1900-00001F000000}">
      <formula1>IF(SUM(H112:I112)&gt;0,H130=0,TRUE)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0" xr:uid="{00000000-0002-0000-1900-000020000000}">
      <formula1>IF(SUM(H112:I112)&gt;0,I130=0,TRUE)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1" xr:uid="{00000000-0002-0000-1900-000021000000}">
      <formula1>IF(SUM(H112:I112)&gt;0,H131=0,TRUE)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1" xr:uid="{00000000-0002-0000-1900-000022000000}">
      <formula1>IF(SUM(H112:I112)&gt;0,I131=0,TRUE)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2" xr:uid="{00000000-0002-0000-1900-000023000000}">
      <formula1>IF(SUM(H112:I112)&gt;0,H132=0,TRUE)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2" xr:uid="{00000000-0002-0000-1900-000024000000}">
      <formula1>IF(SUM(H112:I112)&gt;0,I132=0,TRUE)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3" xr:uid="{00000000-0002-0000-1900-000025000000}">
      <formula1>IF(SUM(H112:I112)&gt;0,H133=0,TRUE)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3" xr:uid="{00000000-0002-0000-1900-000026000000}">
      <formula1>IF(SUM(H112:I112)&gt;0,I133=0,TRUE)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4" xr:uid="{00000000-0002-0000-1900-000027000000}">
      <formula1>IF(SUM(H112:I112)&gt;0,H134=0,TRUE)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4" xr:uid="{00000000-0002-0000-1900-000028000000}">
      <formula1>IF(SUM(H112:I112)&gt;0,I134=0,TRUE)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5" xr:uid="{00000000-0002-0000-1900-000029000000}">
      <formula1>IF(SUM(H112:I112)&gt;0,H135=0,TRUE)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5" xr:uid="{00000000-0002-0000-1900-00002A000000}">
      <formula1>IF(SUM(H112:I112)&gt;0,I135=0,TRUE)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112" xr:uid="{00000000-0002-0000-1900-00002B000000}">
      <formula1>IF(SUM(H115:I135)&gt;0,I112=0,TRUE)</formula1>
    </dataValidation>
    <dataValidation type="list" allowBlank="1" showInputMessage="1" showErrorMessage="1" prompt="費用/建物附属設備/工具・器具・備品の場合、選択してください。" sqref="N53:N70" xr:uid="{00000000-0002-0000-1900-00002C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8"/>
  <dimension ref="A2:AI71"/>
  <sheetViews>
    <sheetView topLeftCell="A25" zoomScale="75" zoomScaleNormal="75" workbookViewId="0">
      <selection activeCell="J47" sqref="J47:L47"/>
    </sheetView>
  </sheetViews>
  <sheetFormatPr baseColWidth="10" defaultColWidth="6.6640625" defaultRowHeight="26.25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33203125" style="39" customWidth="1"/>
    <col min="17" max="33" width="5.33203125" style="1" customWidth="1"/>
    <col min="34" max="16384" width="6.6640625" style="1"/>
  </cols>
  <sheetData>
    <row r="2" spans="1:33" ht="26.25" customHeight="1">
      <c r="C2" s="37" t="s">
        <v>14</v>
      </c>
      <c r="E2" s="36" t="s">
        <v>50</v>
      </c>
      <c r="F2" s="39">
        <v>0</v>
      </c>
      <c r="G2" s="1" t="s">
        <v>192</v>
      </c>
      <c r="H2" s="4">
        <f>表紙!H25</f>
        <v>35</v>
      </c>
      <c r="I2" s="4" t="s">
        <v>56</v>
      </c>
      <c r="J2" s="39">
        <f>VLOOKUP("EOL",$M$25:$N$65536,2,FALSE)</f>
        <v>3</v>
      </c>
    </row>
    <row r="3" spans="1:33" ht="26.25" customHeight="1" thickBot="1">
      <c r="C3" s="2822" t="s">
        <v>319</v>
      </c>
      <c r="D3" s="2822"/>
      <c r="E3" s="2822"/>
      <c r="F3" s="2822"/>
      <c r="G3" s="2822"/>
      <c r="H3" s="2822"/>
      <c r="I3" s="2822"/>
      <c r="J3" s="2822"/>
      <c r="K3" s="2822"/>
      <c r="L3" s="2822"/>
      <c r="O3" s="2828" t="s">
        <v>132</v>
      </c>
      <c r="P3" s="2829"/>
      <c r="Q3" s="2829"/>
      <c r="R3" s="2829"/>
      <c r="S3" s="2829"/>
      <c r="T3" s="2829"/>
      <c r="U3" s="2829"/>
      <c r="V3" s="2829"/>
      <c r="W3" s="2829"/>
      <c r="X3" s="2829"/>
      <c r="Y3" s="2829"/>
      <c r="Z3" s="2829"/>
      <c r="AA3" s="2829"/>
      <c r="AB3" s="2829"/>
      <c r="AC3" s="2829"/>
      <c r="AD3" s="2829"/>
      <c r="AE3" s="2829"/>
      <c r="AF3" s="2829"/>
      <c r="AG3" s="2830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825" t="s">
        <v>6</v>
      </c>
      <c r="K4" s="2826"/>
      <c r="L4" s="2827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○○工事の部</v>
      </c>
      <c r="D5" s="112"/>
      <c r="E5" s="97"/>
      <c r="F5" s="292"/>
      <c r="G5" s="113"/>
      <c r="H5" s="83" t="s">
        <v>11</v>
      </c>
      <c r="I5" s="83" t="s">
        <v>11</v>
      </c>
      <c r="J5" s="2819"/>
      <c r="K5" s="2820"/>
      <c r="L5" s="2821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/>
      <c r="E8" s="99"/>
      <c r="F8" s="274"/>
      <c r="G8" s="115"/>
      <c r="H8" s="101"/>
      <c r="I8" s="101"/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0</v>
      </c>
      <c r="J16" s="818" t="str">
        <f>IF(COUNTIF(N:N,"費用")=0,"","うち費用")</f>
        <v/>
      </c>
      <c r="K16" s="819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/>
      <c r="E19" s="99"/>
      <c r="F19" s="274"/>
      <c r="G19" s="115"/>
      <c r="H19" s="101"/>
      <c r="I19" s="101"/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146</v>
      </c>
      <c r="E20" s="99"/>
      <c r="F20" s="274">
        <v>1</v>
      </c>
      <c r="G20" s="115" t="s">
        <v>7</v>
      </c>
      <c r="H20" s="101"/>
      <c r="I20" s="101"/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/>
      <c r="E21" s="99"/>
      <c r="F21" s="274"/>
      <c r="G21" s="115"/>
      <c r="H21" s="101"/>
      <c r="I21" s="101"/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233</v>
      </c>
      <c r="E22" s="99"/>
      <c r="F22" s="274"/>
      <c r="G22" s="115"/>
      <c r="H22" s="101"/>
      <c r="I22" s="101">
        <f>I20+I16</f>
        <v>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/>
      <c r="E23" s="99"/>
      <c r="F23" s="274"/>
      <c r="G23" s="115"/>
      <c r="H23" s="101"/>
      <c r="I23" s="101"/>
      <c r="J23" s="65"/>
      <c r="K23" s="65"/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/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</v>
      </c>
      <c r="G25" s="122" t="s">
        <v>87</v>
      </c>
      <c r="H25" s="123">
        <f>H2</f>
        <v>35</v>
      </c>
      <c r="M25" s="40" t="str">
        <f>IF(A27="","EOL","")</f>
        <v/>
      </c>
      <c r="N25" s="1">
        <f>+F25</f>
        <v>1</v>
      </c>
    </row>
    <row r="26" spans="1:35" ht="26.25" customHeight="1" thickBot="1">
      <c r="C26" s="2822" t="s">
        <v>319</v>
      </c>
      <c r="D26" s="2822"/>
      <c r="E26" s="2822"/>
      <c r="F26" s="2822"/>
      <c r="G26" s="2822"/>
      <c r="H26" s="2822"/>
      <c r="I26" s="2822"/>
      <c r="J26" s="2822"/>
      <c r="K26" s="2822"/>
      <c r="L26" s="2822"/>
      <c r="O26" s="2828" t="s">
        <v>132</v>
      </c>
      <c r="P26" s="2829"/>
      <c r="Q26" s="2829"/>
      <c r="R26" s="2829"/>
      <c r="S26" s="2829"/>
      <c r="T26" s="2829"/>
      <c r="U26" s="2829"/>
      <c r="V26" s="2829"/>
      <c r="W26" s="2829"/>
      <c r="X26" s="2829"/>
      <c r="Y26" s="2829"/>
      <c r="Z26" s="2829"/>
      <c r="AA26" s="2829"/>
      <c r="AB26" s="2829"/>
      <c r="AC26" s="2829"/>
      <c r="AD26" s="2829"/>
      <c r="AE26" s="2829"/>
      <c r="AF26" s="2829"/>
      <c r="AG26" s="2830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825" t="s">
        <v>6</v>
      </c>
      <c r="K27" s="2826"/>
      <c r="L27" s="2827"/>
      <c r="M27" s="815"/>
      <c r="N27" s="813"/>
      <c r="O27" s="812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819"/>
      <c r="K28" s="2820"/>
      <c r="L28" s="2821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2470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6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/>
      <c r="I30" s="101">
        <f t="shared" si="0"/>
        <v>0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6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6"/>
    </row>
    <row r="32" spans="1:35" s="39" customFormat="1" ht="24" customHeight="1">
      <c r="A32" s="38"/>
      <c r="B32" s="38"/>
      <c r="C32" s="788"/>
      <c r="D32" s="789" t="s">
        <v>2471</v>
      </c>
      <c r="E32" s="790"/>
      <c r="F32" s="791"/>
      <c r="G32" s="792"/>
      <c r="H32" s="793"/>
      <c r="I32" s="794">
        <f>SUM(I30:I31)</f>
        <v>0</v>
      </c>
      <c r="J32" s="789"/>
      <c r="K32" s="789"/>
      <c r="L32" s="79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6"/>
    </row>
    <row r="33" spans="1:35" s="39" customFormat="1" ht="24" customHeight="1">
      <c r="A33" s="38"/>
      <c r="B33" s="38"/>
      <c r="C33" s="796"/>
      <c r="D33" s="96"/>
      <c r="E33" s="97"/>
      <c r="F33" s="797"/>
      <c r="G33" s="132"/>
      <c r="H33" s="798"/>
      <c r="I33" s="799" t="str">
        <f t="shared" si="0"/>
        <v/>
      </c>
      <c r="J33" s="96"/>
      <c r="K33" s="96"/>
      <c r="L33" s="800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6"/>
    </row>
    <row r="34" spans="1:35" s="39" customFormat="1" ht="24" customHeight="1">
      <c r="A34" s="38"/>
      <c r="B34" s="38"/>
      <c r="C34" s="102"/>
      <c r="D34" s="65" t="s">
        <v>2472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6"/>
    </row>
    <row r="35" spans="1:35" s="39" customFormat="1" ht="24" customHeight="1">
      <c r="A35" s="38"/>
      <c r="B35" s="38"/>
      <c r="C35" s="102"/>
      <c r="D35" s="65" t="s">
        <v>2473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6"/>
    </row>
    <row r="36" spans="1:35" s="39" customFormat="1" ht="24" customHeight="1">
      <c r="A36" s="38"/>
      <c r="B36" s="38"/>
      <c r="C36" s="102"/>
      <c r="D36" s="65" t="s">
        <v>2474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6"/>
    </row>
    <row r="37" spans="1:35" s="39" customFormat="1" ht="24" customHeight="1">
      <c r="A37" s="38"/>
      <c r="B37" s="38"/>
      <c r="C37" s="102"/>
      <c r="D37" s="65" t="s">
        <v>2475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6"/>
    </row>
    <row r="38" spans="1:35" s="39" customFormat="1" ht="24" customHeight="1">
      <c r="A38" s="38"/>
      <c r="B38" s="38"/>
      <c r="C38" s="102"/>
      <c r="D38" s="65" t="s">
        <v>2476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6"/>
    </row>
    <row r="39" spans="1:35" s="39" customFormat="1" ht="24" customHeight="1">
      <c r="A39" s="38"/>
      <c r="B39" s="38"/>
      <c r="C39" s="102"/>
      <c r="D39" s="65" t="s">
        <v>2477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6"/>
    </row>
    <row r="40" spans="1:35" s="39" customFormat="1" ht="24" customHeight="1">
      <c r="A40" s="38"/>
      <c r="B40" s="38"/>
      <c r="C40" s="102"/>
      <c r="D40" s="65" t="s">
        <v>2478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6"/>
    </row>
    <row r="41" spans="1:35" s="39" customFormat="1" ht="24" customHeight="1">
      <c r="A41" s="38"/>
      <c r="B41" s="38"/>
      <c r="C41" s="102"/>
      <c r="D41" s="65" t="s">
        <v>2479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6"/>
    </row>
    <row r="42" spans="1:35" s="39" customFormat="1" ht="24" customHeight="1">
      <c r="A42" s="38"/>
      <c r="B42" s="38"/>
      <c r="C42" s="102"/>
      <c r="D42" s="65" t="s">
        <v>2480</v>
      </c>
      <c r="E42" s="99"/>
      <c r="F42" s="274">
        <v>1</v>
      </c>
      <c r="G42" s="115" t="s">
        <v>7</v>
      </c>
      <c r="H42" s="133"/>
      <c r="I42" s="101">
        <f t="shared" si="0"/>
        <v>0</v>
      </c>
      <c r="J42" s="65"/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6"/>
    </row>
    <row r="43" spans="1:35" s="39" customFormat="1" ht="24" customHeight="1">
      <c r="A43" s="38"/>
      <c r="B43" s="38"/>
      <c r="C43" s="102"/>
      <c r="D43" s="65" t="s">
        <v>2481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6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6"/>
    </row>
    <row r="45" spans="1:35" s="39" customFormat="1" ht="24" customHeight="1">
      <c r="A45" s="38"/>
      <c r="B45" s="38"/>
      <c r="C45" s="801"/>
      <c r="D45" s="789" t="s">
        <v>2482</v>
      </c>
      <c r="E45" s="790"/>
      <c r="F45" s="791"/>
      <c r="G45" s="792"/>
      <c r="H45" s="793"/>
      <c r="I45" s="794">
        <f>SUM(I35:I44)</f>
        <v>0</v>
      </c>
      <c r="J45" s="789"/>
      <c r="K45" s="789"/>
      <c r="L45" s="79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6"/>
    </row>
    <row r="46" spans="1:35" s="39" customFormat="1" ht="24" customHeight="1">
      <c r="A46" s="38"/>
      <c r="B46" s="38"/>
      <c r="C46" s="796"/>
      <c r="D46" s="96"/>
      <c r="E46" s="97"/>
      <c r="F46" s="797"/>
      <c r="G46" s="132"/>
      <c r="H46" s="798"/>
      <c r="I46" s="799" t="str">
        <f t="shared" si="0"/>
        <v/>
      </c>
      <c r="J46" s="96"/>
      <c r="K46" s="96"/>
      <c r="L46" s="800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6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0</v>
      </c>
      <c r="J47" s="822" t="str">
        <f>IF(C28="部分撤去工事","）うち費用",")")</f>
        <v>)</v>
      </c>
      <c r="K47" s="821">
        <f>IF(C28="部分撤去工事",(K24+L47),0)</f>
        <v>0</v>
      </c>
      <c r="L47" s="820">
        <f>IF(C28="部分撤去工事",SUMIF(N29:N46,"費用",I29:I46),0)</f>
        <v>0</v>
      </c>
      <c r="M47" s="817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6"/>
    </row>
    <row r="48" spans="1:35" ht="14.25" customHeight="1">
      <c r="E48" s="120" t="s">
        <v>86</v>
      </c>
      <c r="F48" s="121">
        <f>+F25+1</f>
        <v>2</v>
      </c>
      <c r="G48" s="122" t="s">
        <v>87</v>
      </c>
      <c r="H48" s="123">
        <f>+$H$25</f>
        <v>35</v>
      </c>
      <c r="I48" s="123"/>
      <c r="M48" s="816" t="str">
        <f>IF(A50="","EOL","")</f>
        <v/>
      </c>
      <c r="N48" s="1">
        <f>+F48</f>
        <v>2</v>
      </c>
      <c r="O48" s="1"/>
      <c r="P48" s="1"/>
    </row>
    <row r="49" spans="1:33" ht="26.25" customHeight="1" thickBot="1">
      <c r="C49" s="2822" t="s">
        <v>319</v>
      </c>
      <c r="D49" s="2822"/>
      <c r="E49" s="2822"/>
      <c r="F49" s="2822"/>
      <c r="G49" s="2822"/>
      <c r="H49" s="2822"/>
      <c r="I49" s="2822"/>
      <c r="J49" s="2822"/>
      <c r="K49" s="2822"/>
      <c r="L49" s="2822"/>
      <c r="O49" s="2828" t="s">
        <v>132</v>
      </c>
      <c r="P49" s="2829"/>
      <c r="Q49" s="2829"/>
      <c r="R49" s="2829"/>
      <c r="S49" s="2829"/>
      <c r="T49" s="2829"/>
      <c r="U49" s="2829"/>
      <c r="V49" s="2829"/>
      <c r="W49" s="2829"/>
      <c r="X49" s="2829"/>
      <c r="Y49" s="2829"/>
      <c r="Z49" s="2829"/>
      <c r="AA49" s="2829"/>
      <c r="AB49" s="2829"/>
      <c r="AC49" s="2829"/>
      <c r="AD49" s="2829"/>
      <c r="AE49" s="2829"/>
      <c r="AF49" s="2829"/>
      <c r="AG49" s="2830"/>
    </row>
    <row r="50" spans="1:33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825" t="s">
        <v>6</v>
      </c>
      <c r="K50" s="2826"/>
      <c r="L50" s="2827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3" ht="24" customHeight="1">
      <c r="A51" s="38"/>
      <c r="B51" s="38"/>
      <c r="C51" s="128" t="s">
        <v>235</v>
      </c>
      <c r="D51" s="96"/>
      <c r="E51" s="97"/>
      <c r="F51" s="273"/>
      <c r="G51" s="132"/>
      <c r="H51" s="91" t="s">
        <v>11</v>
      </c>
      <c r="I51" s="91" t="s">
        <v>11</v>
      </c>
      <c r="J51" s="2819"/>
      <c r="K51" s="2820"/>
      <c r="L51" s="2821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3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3" s="39" customFormat="1" ht="24" customHeight="1">
      <c r="A53" s="38"/>
      <c r="B53" s="38"/>
      <c r="C53" s="102"/>
      <c r="D53" s="65"/>
      <c r="E53" s="99"/>
      <c r="F53" s="274"/>
      <c r="G53" s="115"/>
      <c r="H53" s="133"/>
      <c r="I53" s="101" t="str">
        <f t="shared" ref="I53:I69" si="1">IF(F53="","",INT(F53*H53))</f>
        <v/>
      </c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3" s="39" customFormat="1" ht="24" customHeight="1">
      <c r="A54" s="38"/>
      <c r="B54" s="38"/>
      <c r="C54" s="102"/>
      <c r="D54" s="65"/>
      <c r="E54" s="99"/>
      <c r="F54" s="274"/>
      <c r="G54" s="115"/>
      <c r="H54" s="133"/>
      <c r="I54" s="101" t="str">
        <f t="shared" si="1"/>
        <v/>
      </c>
      <c r="J54" s="65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2"/>
      <c r="AC54" s="231"/>
      <c r="AD54" s="229"/>
      <c r="AE54" s="229"/>
      <c r="AF54" s="229"/>
      <c r="AG54" s="229"/>
    </row>
    <row r="55" spans="1:33" s="39" customFormat="1" ht="24" customHeight="1">
      <c r="A55" s="38"/>
      <c r="B55" s="38"/>
      <c r="C55" s="134"/>
      <c r="D55" s="65"/>
      <c r="E55" s="99"/>
      <c r="F55" s="274"/>
      <c r="G55" s="115"/>
      <c r="H55" s="133"/>
      <c r="I55" s="101" t="str">
        <f t="shared" si="1"/>
        <v/>
      </c>
      <c r="J55" s="65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2"/>
      <c r="AC55" s="231"/>
      <c r="AD55" s="229"/>
      <c r="AE55" s="229"/>
      <c r="AF55" s="229"/>
      <c r="AG55" s="229"/>
    </row>
    <row r="56" spans="1:33" s="39" customFormat="1" ht="24" customHeight="1">
      <c r="A56" s="38"/>
      <c r="B56" s="38"/>
      <c r="C56" s="102"/>
      <c r="D56" s="65"/>
      <c r="E56" s="99"/>
      <c r="F56" s="274"/>
      <c r="G56" s="115"/>
      <c r="H56" s="133"/>
      <c r="I56" s="101" t="str">
        <f t="shared" si="1"/>
        <v/>
      </c>
      <c r="J56" s="65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2"/>
      <c r="AC56" s="231"/>
      <c r="AD56" s="229"/>
      <c r="AE56" s="229"/>
      <c r="AF56" s="229"/>
      <c r="AG56" s="229"/>
    </row>
    <row r="57" spans="1:33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si="1"/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3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1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3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1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3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1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3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1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3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1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3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1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3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1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3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1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3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1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3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1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3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1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3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1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3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0</v>
      </c>
      <c r="J70" s="822" t="str">
        <f>IF(C51="部分撤去工事","）うち費用",")")</f>
        <v>)</v>
      </c>
      <c r="K70" s="821">
        <f>IF(C51="部分撤去工事",(K47+L70),0)</f>
        <v>0</v>
      </c>
      <c r="L70" s="820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3" ht="14.25" customHeight="1">
      <c r="E71" s="120" t="s">
        <v>86</v>
      </c>
      <c r="F71" s="121">
        <f>+F48+1</f>
        <v>3</v>
      </c>
      <c r="G71" s="122" t="s">
        <v>49</v>
      </c>
      <c r="H71" s="123">
        <f>+$H$25</f>
        <v>35</v>
      </c>
      <c r="I71" s="123"/>
      <c r="M71" s="40" t="str">
        <f>IF(A73="","EOL","")</f>
        <v>EOL</v>
      </c>
      <c r="N71" s="1">
        <f>+F71</f>
        <v>3</v>
      </c>
      <c r="O71" s="1"/>
      <c r="P71" s="1"/>
    </row>
  </sheetData>
  <mergeCells count="12">
    <mergeCell ref="J4:L4"/>
    <mergeCell ref="J27:L27"/>
    <mergeCell ref="O3:AG3"/>
    <mergeCell ref="O26:AG26"/>
    <mergeCell ref="C3:L3"/>
    <mergeCell ref="C26:L26"/>
    <mergeCell ref="J5:L5"/>
    <mergeCell ref="C49:L49"/>
    <mergeCell ref="O49:AG49"/>
    <mergeCell ref="J50:L50"/>
    <mergeCell ref="J51:L51"/>
    <mergeCell ref="J28:L28"/>
  </mergeCells>
  <phoneticPr fontId="2"/>
  <dataValidations count="1">
    <dataValidation type="list" allowBlank="1" showInputMessage="1" showErrorMessage="1" prompt="費用/建物附属設備/工具・器具・備品の場合、選択してください。" sqref="N52:N69" xr:uid="{00000000-0002-0000-1A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OriginalRibbon/OriginalRibbon.xml><?xml version="1.0" encoding="utf-8"?>
<customUI xmlns="http://schemas.microsoft.com/office/2006/01/customui">
  <ribbon>
    <tabs>
      <tab id="myTab" label="明細">
        <group id="myGroup1" label="明細書">
          <button id="mybutton1" size="large" label="単価表呼出" imageMso="SharePointListsWorkOffline" onAction="Macro1" screentip="単価表による入力を行います。"/>
          <separator id="separator1"/>
          <button id="mybutton2" label="現在の位置に単票を追加" imageMso="CellsInsertDialog" onAction="Macro1" screentip="現在の位置に明細書単票を追加します。"/>
          <button id="mybutton3" label="最終行に単票を追加" imageMso="TableOfAuthoritiesInsert" onAction="Macro1" screentip="現在のシートの最終行に明細書単票を追加します。"/>
          <button id="mybutton4" label="明細シートを追加" imageMso="CreateQueryFromWizard" onAction="Macro1" screentip="明細書シートを追加します。"/>
          <separator id="separator2"/>
          <button id="mybutton5" label="現在の位置の単票を削除" imageMso="CellsDelete" onAction="Macro1" screentip="現在の位置の明細書単票を削除します。"/>
          <button id="mybutton6" label="最終行の単票を削除" imageMso="QueryDelete" onAction="Macro1" screentip="現在のシートの最終行の明細書単票を削除します。"/>
          <button id="mybutton7" label="明細シートを削除" imageMso="SheetDelete" onAction="Macro1" screentip="明細書シートを削除します。"/>
        </group>
        <group id="myGroup2" label="見積比較書">
          <button id="mybutton8" label="単票の追加" imageMso="TableRowsInsertBelowExcel" onAction="Macro1" screentip="現在の位置に見積比較書を追加します。"/>
          <button id="mybutton9" label="単票の削除" imageMso="TableRowsDeleteExcel" onAction="Macro1" screentip="現在の位置の見積比較書を削除します。"/>
        </group>
        <group id="myGroup3" label="印刷">
          <button id="mybutton10" size="large" label="明細書印刷" imageMso="FilePrint" onAction="Macro1" screentip="明細書を印刷します。"/>
          <separator id="separator3"/>
          <box id="box1" boxStyle="vertical">
            <button id="mybutton11" label="見積比較書印刷" imageMso="PrintOptionsMenu" onAction="Macro1" screentip="見積比較書を印刷します。"/>
            <button id="mybutton12" label="小運搬表印刷" imageMso="PrintAreaMenu" onAction="Macro1" screentip="小運搬表を印刷します。"/>
          </box>
          <separator id="separator4"/>
          <box id="box2" boxStyle="vertical">
            <button id="mybutton13" getVisible="getVisibleCallback1" label="諸経費表印刷" onAction="Macro1" screentip="諸経費表を印刷します。"/>
            <button id="mybutton14" getVisible="getVisibleCallback1" label="代価歩掛印刷" onAction="Macro1" screentip="代価歩掛を印刷します。"/>
          </box>
        </group>
        <group id="myGroup4" label="補助">
          <button id="mybutton15" size="large" label="小運搬表　作成　" imageMso="DatabaseLinedTableManager" onAction="Macro1" screentip="小運搬表を作成します。"/>
          <button id="mybutton16" label="ｼｰﾄ先頭ﾍﾟｰｼﾞに工種記入" imageMso="Refresh" onAction="Macro1" screentip="シートの先頭ページに、工種を記入しなおします。"/>
          <button id="mybutton17" getVisible="getVisibleCallback1" label="保障(範囲指定後)" imageMso="DistributionListAddNewMember" onAction="Macro1" screentip="保障対象範囲を指定後、使用してください。"/>
          <button id="mybutton18" getVisible="getVisibleCallback1" label="単価一括代入" imageMso="QueryBuilder" onAction="Macro1" screentip="ﾊｲﾘｽｸ・ﾊｲﾘﾀｰﾝ！ 気をつけて使いましょう！"/>
        </group>
        <group id="myGroup5" label="見積用">
          <button id="mybutton19" getVisible="getVisibleCallback2" label="見積担当者用に変更" imageMso="RecurrenceEdit" onAction="Macro1" screentip="見積担当者以外はさわらないでください。"/>
          <button id="mybutton20" getVisible="getVisibleCallback1" label="設計担当者用に変更" imageMso="RecurrenceEdit" onAction="Macro1" screentip="設計担当者用に戻します。"/>
          <button id="mybutton21" getVisible="getVisibleCallback1" label="現場送付用に変更" imageMso="GoTo" onAction="Macro1" screentip="単価等を貼付け、現場送付用に変更します。（注意！：ﾏｸﾛ等一部使用できなくなります。）"/>
        </group>
        <group id="myGroup6" label="ヘルプ">
          <button id="mybutton22" label="ヘルプ・使い方" imageMso="Help" onAction="Macro1" screentip="ごめんなさい。m(_ _)m 旧ﾊﾞｰｼﾞｮﾝのままです…。基本は同じなので参考としてください。"/>
          <button id="mybutton23" label="バージョン情報" imageMso="Info" onAction="Macro1" screentip="ﾊﾞｰｼﾞｮﾝ情報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17</vt:i4>
      </vt:variant>
    </vt:vector>
  </HeadingPairs>
  <TitlesOfParts>
    <vt:vector size="44" baseType="lpstr">
      <vt:lpstr>表紙</vt:lpstr>
      <vt:lpstr>資産管理明細書</vt:lpstr>
      <vt:lpstr>資産クラス</vt:lpstr>
      <vt:lpstr>変更諸経費表</vt:lpstr>
      <vt:lpstr>変更諸経費表 (東梅田)</vt:lpstr>
      <vt:lpstr>工事1</vt:lpstr>
      <vt:lpstr>資産クラス一覧表</vt:lpstr>
      <vt:lpstr>工事2</vt:lpstr>
      <vt:lpstr>工事3</vt:lpstr>
      <vt:lpstr>小運搬 (1)</vt:lpstr>
      <vt:lpstr>小運搬 (3)</vt:lpstr>
      <vt:lpstr>変更諸経費表 (堺筋本町)</vt:lpstr>
      <vt:lpstr>工事4</vt:lpstr>
      <vt:lpstr>工事5</vt:lpstr>
      <vt:lpstr>小運搬 (5)</vt:lpstr>
      <vt:lpstr>小運搬 (6)</vt:lpstr>
      <vt:lpstr>工事6</vt:lpstr>
      <vt:lpstr>工事7</vt:lpstr>
      <vt:lpstr>代価</vt:lpstr>
      <vt:lpstr>見積比較</vt:lpstr>
      <vt:lpstr>見積類似</vt:lpstr>
      <vt:lpstr>小運搬</vt:lpstr>
      <vt:lpstr>代価一覧</vt:lpstr>
      <vt:lpstr>変更諸経費表(専業)元</vt:lpstr>
      <vt:lpstr>変更諸経費表(専業)改</vt:lpstr>
      <vt:lpstr>work</vt:lpstr>
      <vt:lpstr>新規シート</vt:lpstr>
      <vt:lpstr>見積比較!Print_Area</vt:lpstr>
      <vt:lpstr>見積類似!Print_Area</vt:lpstr>
      <vt:lpstr>工事1!Print_Area</vt:lpstr>
      <vt:lpstr>工事2!Print_Area</vt:lpstr>
      <vt:lpstr>工事3!Print_Area</vt:lpstr>
      <vt:lpstr>工事4!Print_Area</vt:lpstr>
      <vt:lpstr>工事5!Print_Area</vt:lpstr>
      <vt:lpstr>工事6!Print_Area</vt:lpstr>
      <vt:lpstr>工事7!Print_Area</vt:lpstr>
      <vt:lpstr>資産クラス!Print_Area</vt:lpstr>
      <vt:lpstr>資産管理明細書!Print_Area</vt:lpstr>
      <vt:lpstr>代価!Print_Area</vt:lpstr>
      <vt:lpstr>変更諸経費表!Print_Area</vt:lpstr>
      <vt:lpstr>'変更諸経費表 (堺筋本町)'!Print_Area</vt:lpstr>
      <vt:lpstr>'変更諸経費表 (東梅田)'!Print_Area</vt:lpstr>
      <vt:lpstr>'変更諸経費表(専業)改'!Print_Area</vt:lpstr>
      <vt:lpstr>'変更諸経費表(専業)元'!Print_Area</vt:lpstr>
    </vt:vector>
  </TitlesOfParts>
  <Manager>古田　順正</Manager>
  <Company>大阪市交通局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参考明細作成</dc:title>
  <dc:creator>建築企画担当</dc:creator>
  <dc:description>参考明細作成用のVBA付き</dc:description>
  <cp:lastModifiedBy>Microsoft Office User</cp:lastModifiedBy>
  <cp:lastPrinted>2020-06-20T01:34:23Z</cp:lastPrinted>
  <dcterms:created xsi:type="dcterms:W3CDTF">2000-06-20T23:47:24Z</dcterms:created>
  <dcterms:modified xsi:type="dcterms:W3CDTF">2022-06-28T07:13:49Z</dcterms:modified>
</cp:coreProperties>
</file>