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"/>
    </mc:Choice>
  </mc:AlternateContent>
  <bookViews>
    <workbookView xWindow="0" yWindow="0" windowWidth="28800" windowHeight="11880" activeTab="4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6" l="1"/>
  <c r="C46" i="6"/>
  <c r="E46" i="6" s="1"/>
  <c r="C45" i="6"/>
  <c r="E45" i="6" s="1"/>
  <c r="C44" i="6"/>
  <c r="E44" i="6" s="1"/>
  <c r="C43" i="6"/>
  <c r="D27" i="2" l="1"/>
  <c r="D28" i="2" l="1"/>
  <c r="C58" i="6" l="1"/>
  <c r="E58" i="6" s="1"/>
  <c r="C57" i="6"/>
  <c r="E57" i="6" s="1"/>
  <c r="C56" i="6"/>
  <c r="E56" i="6" s="1"/>
  <c r="C55" i="6"/>
  <c r="E55" i="6" s="1"/>
  <c r="C54" i="6"/>
  <c r="E54" i="6" s="1"/>
  <c r="C53" i="6"/>
  <c r="E53" i="6" s="1"/>
  <c r="C52" i="6"/>
  <c r="E52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D33" i="2" l="1"/>
  <c r="F52" i="6"/>
  <c r="J16" i="6" l="1"/>
  <c r="C58" i="3" l="1"/>
  <c r="C50" i="6" l="1"/>
  <c r="C49" i="6"/>
  <c r="C48" i="6"/>
  <c r="F13" i="3" l="1"/>
  <c r="D50" i="6" l="1"/>
  <c r="E50" i="6" s="1"/>
  <c r="D49" i="6"/>
  <c r="E49" i="6" s="1"/>
  <c r="D48" i="6"/>
  <c r="D26" i="2"/>
  <c r="D25" i="2"/>
  <c r="J14" i="6" l="1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48" i="6"/>
  <c r="D34" i="2" s="1"/>
  <c r="E43" i="6"/>
  <c r="D35" i="2" s="1"/>
  <c r="F59" i="6" l="1"/>
  <c r="F60" i="6" s="1"/>
  <c r="M33" i="2" l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<sst xmlns="http://schemas.openxmlformats.org/spreadsheetml/2006/main" count="295" uniqueCount="171">
  <si>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</si>
  <si>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</si>
  <si>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</si>
  <si>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</si>
  <si>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</si>
  <si>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</si>
  <si>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</si>
  <si>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</si>
  <si>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</si>
  <si>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</si>
  <si>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</si>
  <si>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</si>
  <si>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</si>
  <si>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</si>
  <si>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</si>
  <si>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</si>
  <si>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</si>
  <si>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</si>
  <si>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</si>
  <si>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</si>
  <si>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</si>
  <si>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</si>
  <si>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</si>
  <si>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</si>
  <si>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</si>
  <si>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</si>
  <si>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</si>
  <si>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</si>
  <si>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</si>
  <si>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</si>
  <si>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</si>
  <si>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</si>
  <si>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</si>
  <si>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</si>
  <si>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</si>
  <si>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</si>
  <si>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</si>
  <si>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</si>
  <si>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</si>
  <si>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</si>
  <si>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</si>
  <si>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</si>
  <si>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</si>
  <si>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</si>
  <si>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</si>
  <si>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</si>
  <si>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</si>
  <si>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</si>
  <si>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</si>
  <si>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</si>
  <si>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</si>
  <si>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</si>
  <si>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</si>
  <si>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</si>
  <si>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</si>
  <si>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</si>
  <si>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</si>
  <si>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</si>
  <si>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</si>
  <si>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</si>
  <si>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</si>
  <si>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</si>
  <si>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</si>
  <si>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</si>
  <si>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</si>
  <si>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</si>
  <si>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</si>
  <si>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</si>
  <si>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</si>
  <si>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</si>
  <si>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</si>
  <si>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</si>
  <si>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</si>
  <si>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</si>
  <si>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</si>
  <si>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</si>
  <si>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</si>
  <si>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</si>
  <si>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</si>
  <si>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</si>
  <si>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</si>
  <si>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</si>
  <si>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</si>
  <si>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</si>
  <si>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</si>
  <si>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</si>
  <si>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</si>
  <si>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</si>
  <si>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</si>
  <si>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</si>
  <si>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</si>
  <si>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</si>
  <si>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</si>
  <si>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</si>
  <si>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</si>
  <si>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Enedis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</si>
  <si>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</si>
  <si>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</si>
  <si>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</si>
  <si>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</si>
  <si>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</si>
  <si>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</si>
  <si>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</si>
  <si>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</si>
  <si>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</si>
  <si>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</si>
  <si>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</si>
  <si>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</si>
  <si>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</si>
  <si>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</si>
  <si>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</si>
  <si>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</si>
  <si>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</si>
  <si>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</si>
  <si>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</si>
  <si>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</si>
  <si>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</si>
  <si>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</si>
  <si>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</si>
  <si>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</si>
  <si>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</si>
  <si>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</si>
  <si>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</si>
  <si>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</si>
  <si>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</si>
  <si>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</si>
  <si>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</si>
  <si>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</si>
  <si>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</si>
  <si>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</si>
  <si>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</si>
  <si>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</si>
  <si>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</si>
  <si>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</si>
  <si>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</si>
  <si>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</si>
  <si>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</si>
  <si>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</si>
  <si>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</si>
  <si>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</si>
  <si>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</si>
  <si>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</si>
  <si>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</si>
  <si>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</si>
  <si>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</si>
  <si>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</si>
  <si>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</si>
  <si>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</si>
  <si>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</si>
  <si>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</si>
  <si>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</si>
  <si>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</si>
  <si>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</si>
  <si>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</si>
  <si>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</si>
  <si>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</si>
  <si>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</si>
  <si>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</si>
  <si>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</si>
  <si>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</si>
  <si>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</si>
  <si>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</si>
  <si>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</si>
  <si>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</si>
  <si>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</si>
  <si>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</si>
  <si>
    <t>OPP_4-6_LT_26165_LVON_002</t>
  </si>
  <si>
    <t>LIVRON-SUR-DROME</t>
  </si>
  <si>
    <t>COO_2018_LivronSurDrome_EnfouissementDeloche</t>
  </si>
  <si>
    <t>Depart Deloche - PS Loriol</t>
  </si>
  <si>
    <t>1 X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</si>
</sst>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41" xfId="0" applyBorder="1"/>
    <xf numFmtId="0" fontId="0" fillId="0" borderId="21" xfId="0" applyBorder="1"/>
    <xf numFmtId="0" fontId="1" fillId="9" borderId="53" xfId="0" applyFont="1" applyFill="1" applyBorder="1"/>
    <xf numFmtId="9" fontId="1" fillId="9" borderId="53" xfId="0" applyNumberFormat="1" applyFont="1" applyFill="1" applyBorder="1"/>
    <xf numFmtId="1" fontId="0" fillId="0" borderId="41" xfId="0" applyNumberFormat="1" applyBorder="1"/>
    <xf numFmtId="0" fontId="0" fillId="0" borderId="38" xfId="0" applyBorder="1"/>
    <xf numFmtId="0" fontId="1" fillId="9" borderId="11" xfId="0" applyFont="1" applyFill="1" applyBorder="1"/>
    <xf numFmtId="0" fontId="1" fillId="9" borderId="13" xfId="0" applyFont="1" applyFill="1" applyBorder="1"/>
    <xf numFmtId="1" fontId="0" fillId="0" borderId="38" xfId="0" applyNumberFormat="1" applyBorder="1"/>
    <xf numFmtId="0" fontId="1" fillId="9" borderId="53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1" fillId="7" borderId="14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19</xdr:row>
      <xdr:rowOff>180975</xdr:rowOff>
    </xdr:from>
    <xdr:to>
      <xdr:col>15</xdr:col>
      <xdr:colOff>24750</xdr:colOff>
      <xdr:row>46</xdr:row>
      <xdr:rowOff>56905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14825"/>
          <a:ext cx="7559024" cy="501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F23" sqref="F23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154</v>
      </c>
      <c r="E1" t="s">
        <v>91</v>
      </c>
      <c r="F1" t="s">
        <v>31</v>
      </c>
      <c r="G1" t="s">
        <v>32</v>
      </c>
      <c r="H1" t="s">
        <v>33</v>
      </c>
      <c r="I1" t="s">
        <v>155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163</v>
      </c>
      <c r="R1" t="s">
        <v>164</v>
      </c>
      <c r="S1" t="s">
        <v>165</v>
      </c>
    </row>
    <row r="2" spans="1:19" x14ac:dyDescent="0.25">
      <c r="A2">
        <v>5</v>
      </c>
      <c r="B2" t="s">
        <v>166</v>
      </c>
      <c r="C2" t="s">
        <v>168</v>
      </c>
      <c r="D2" t="s">
        <v>167</v>
      </c>
      <c r="E2" t="s">
        <v>169</v>
      </c>
      <c r="F2" t="s">
        <v>46</v>
      </c>
      <c r="G2" t="s">
        <v>74</v>
      </c>
      <c r="H2" t="s">
        <v>170</v>
      </c>
      <c r="I2" t="s">
        <v>82</v>
      </c>
      <c r="J2">
        <v>2018</v>
      </c>
      <c r="K2" t="s">
        <v>85</v>
      </c>
      <c r="L2" t="s">
        <v>95</v>
      </c>
      <c r="M2">
        <v>50</v>
      </c>
      <c r="N2">
        <v>3994</v>
      </c>
      <c r="P2">
        <v>7</v>
      </c>
      <c r="Q2">
        <v>2</v>
      </c>
      <c r="R2">
        <v>5</v>
      </c>
      <c r="S2">
        <v>0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H3" sqref="H3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161</v>
      </c>
      <c r="E1" t="s">
        <v>157</v>
      </c>
      <c r="F1" t="s">
        <v>158</v>
      </c>
      <c r="G1" t="s">
        <v>159</v>
      </c>
      <c r="H1" t="s">
        <v>160</v>
      </c>
      <c r="I1" t="s">
        <v>37</v>
      </c>
      <c r="J1" t="s">
        <v>154</v>
      </c>
    </row>
    <row r="2" spans="1:10" x14ac:dyDescent="0.25">
      <c r="A2">
        <v>1</v>
      </c>
      <c r="B2" t="s">
        <v>166</v>
      </c>
      <c r="C2" t="s">
        <v>74</v>
      </c>
      <c r="D2">
        <v>156</v>
      </c>
      <c r="E2" t="s">
        <v>53</v>
      </c>
      <c r="F2">
        <v>156</v>
      </c>
      <c r="G2" t="s">
        <v>141</v>
      </c>
      <c r="H2">
        <v>0</v>
      </c>
      <c r="I2">
        <v>156</v>
      </c>
      <c r="J2" t="s">
        <v>167</v>
      </c>
    </row>
    <row r="3" spans="1:10" x14ac:dyDescent="0.25">
      <c r="A3">
        <v>2</v>
      </c>
      <c r="B3" t="s">
        <v>166</v>
      </c>
      <c r="C3" t="s">
        <v>74</v>
      </c>
      <c r="D3">
        <v>1844</v>
      </c>
      <c r="E3" t="s">
        <v>53</v>
      </c>
      <c r="F3">
        <v>1844</v>
      </c>
      <c r="G3" t="s">
        <v>141</v>
      </c>
      <c r="H3">
        <v>25</v>
      </c>
      <c r="I3">
        <v>1844</v>
      </c>
      <c r="J3" t="s">
        <v>167</v>
      </c>
    </row>
    <row r="4" spans="1:10" x14ac:dyDescent="0.25">
      <c r="A4">
        <v>3</v>
      </c>
      <c r="B4" t="s">
        <v>166</v>
      </c>
      <c r="C4" t="s">
        <v>78</v>
      </c>
      <c r="D4">
        <v>1994</v>
      </c>
      <c r="E4" t="s">
        <v>53</v>
      </c>
      <c r="F4">
        <v>1018</v>
      </c>
      <c r="G4" t="s">
        <v>141</v>
      </c>
      <c r="H4">
        <v>0</v>
      </c>
      <c r="I4">
        <v>1018</v>
      </c>
      <c r="J4" t="s">
        <v>167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view="pageBreakPreview" topLeftCell="A28" zoomScaleNormal="100" zoomScaleSheetLayoutView="100" workbookViewId="0">
      <selection activeCell="D58" sqref="D58:L5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36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  <c r="O2" s="3"/>
      <c r="P2" s="1"/>
    </row>
    <row r="3" spans="1:16" x14ac:dyDescent="0.25">
      <c r="A3" s="1"/>
      <c r="B3" s="1"/>
      <c r="C3" s="139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40"/>
      <c r="O3" s="1"/>
      <c r="P3" s="1"/>
    </row>
    <row r="4" spans="1:16" x14ac:dyDescent="0.25">
      <c r="A4" s="1"/>
      <c r="B4" s="1"/>
      <c r="C4" s="139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40"/>
      <c r="O4" s="1"/>
      <c r="P4" s="1"/>
    </row>
    <row r="5" spans="1:16" x14ac:dyDescent="0.25">
      <c r="A5" s="1"/>
      <c r="B5" s="1"/>
      <c r="C5" s="139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40"/>
      <c r="O5" s="1"/>
      <c r="P5" s="1"/>
    </row>
    <row r="6" spans="1:16" x14ac:dyDescent="0.25">
      <c r="A6" s="1"/>
      <c r="B6" s="1"/>
      <c r="C6" s="139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40"/>
      <c r="O6" s="1"/>
      <c r="P6" s="1"/>
    </row>
    <row r="7" spans="1:16" x14ac:dyDescent="0.25">
      <c r="A7" s="1"/>
      <c r="B7" s="1"/>
      <c r="C7" s="141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44" t="s">
        <v>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6"/>
      <c r="P9" s="1"/>
    </row>
    <row r="10" spans="1:16" ht="18.75" x14ac:dyDescent="0.25">
      <c r="A10" s="1"/>
      <c r="B10" s="147" t="str">
        <f>IF(ISBLANK(Synthèse!B2),"",Synthèse!B2)</f>
        <v>OPP_4-6_LT_26165_LVON_002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"/>
    </row>
    <row r="11" spans="1:16" ht="18.75" x14ac:dyDescent="0.25">
      <c r="A11" s="1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"/>
    </row>
    <row r="12" spans="1:16" x14ac:dyDescent="0.25">
      <c r="A12" s="1"/>
      <c r="B12" s="153" t="s">
        <v>4</v>
      </c>
      <c r="C12" s="153"/>
      <c r="D12" s="153"/>
      <c r="E12" s="153"/>
      <c r="F12" s="155" t="str">
        <f>IF(ISBLANK(Synthèse!C2),"",Synthèse!C2)</f>
        <v>COO_2018_LivronSurDrome_EnfouissementDeloche</v>
      </c>
      <c r="G12" s="155"/>
      <c r="H12" s="155"/>
      <c r="I12" s="155"/>
      <c r="J12" s="155"/>
      <c r="K12" s="155"/>
      <c r="L12" s="155"/>
      <c r="M12" s="155"/>
      <c r="N12" s="155"/>
      <c r="O12" s="156"/>
      <c r="P12" s="1"/>
    </row>
    <row r="13" spans="1:16" ht="18.75" customHeight="1" x14ac:dyDescent="0.25">
      <c r="A13" s="1"/>
      <c r="B13" s="154" t="s">
        <v>5</v>
      </c>
      <c r="C13" s="154"/>
      <c r="D13" s="154"/>
      <c r="E13" s="154"/>
      <c r="F13" s="157" t="str">
        <f>IF(ISBLANK(Synthèse!D2),"",Synthèse!D2)</f>
        <v>LIVRON-SUR-DROME</v>
      </c>
      <c r="G13" s="157"/>
      <c r="H13" s="157"/>
      <c r="I13" s="157"/>
      <c r="J13" s="157"/>
      <c r="K13" s="157"/>
      <c r="L13" s="157"/>
      <c r="M13" s="157"/>
      <c r="N13" s="157"/>
      <c r="O13" s="158"/>
      <c r="P13" s="1"/>
    </row>
    <row r="14" spans="1:16" ht="18.75" customHeight="1" x14ac:dyDescent="0.25">
      <c r="A14" s="1"/>
      <c r="B14" s="154" t="s">
        <v>6</v>
      </c>
      <c r="C14" s="154"/>
      <c r="D14" s="154"/>
      <c r="E14" s="154"/>
      <c r="F14" s="126" t="str">
        <f>IF(ISBLANK(Synthèse!E2),"",Synthèse!E2)</f>
        <v>Depart Deloche - PS Loriol</v>
      </c>
      <c r="G14" s="126"/>
      <c r="H14" s="126"/>
      <c r="I14" s="126"/>
      <c r="J14" s="126"/>
      <c r="K14" s="126"/>
      <c r="L14" s="126"/>
      <c r="M14" s="126"/>
      <c r="N14" s="126"/>
      <c r="O14" s="127"/>
      <c r="P14" s="1"/>
    </row>
    <row r="15" spans="1:16" ht="18.75" customHeight="1" x14ac:dyDescent="0.25">
      <c r="A15" s="4"/>
      <c r="B15" s="149" t="s">
        <v>42</v>
      </c>
      <c r="C15" s="150"/>
      <c r="D15" s="150"/>
      <c r="E15" s="151"/>
      <c r="F15" s="152">
        <f>IF(ISBLANK(Synthèse!N2),"",Synthèse!N2)</f>
        <v>3994</v>
      </c>
      <c r="G15" s="126"/>
      <c r="H15" s="126"/>
      <c r="I15" s="126"/>
      <c r="J15" s="126"/>
      <c r="K15" s="126"/>
      <c r="L15" s="126"/>
      <c r="M15" s="126"/>
      <c r="N15" s="126"/>
      <c r="O15" s="127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  <c r="P17" s="1"/>
    </row>
    <row r="18" spans="1:16" x14ac:dyDescent="0.25">
      <c r="A18" s="1"/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"/>
    </row>
    <row r="19" spans="1:16" x14ac:dyDescent="0.25">
      <c r="A19" s="1"/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"/>
    </row>
    <row r="20" spans="1:16" x14ac:dyDescent="0.25">
      <c r="A20" s="1"/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"/>
    </row>
    <row r="21" spans="1:16" x14ac:dyDescent="0.25">
      <c r="A21" s="1"/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"/>
    </row>
    <row r="22" spans="1:16" x14ac:dyDescent="0.25">
      <c r="A22" s="1"/>
      <c r="B22" s="117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"/>
    </row>
    <row r="23" spans="1:16" x14ac:dyDescent="0.25">
      <c r="A23" s="1"/>
      <c r="B23" s="117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"/>
    </row>
    <row r="24" spans="1:16" x14ac:dyDescent="0.25">
      <c r="A24" s="1"/>
      <c r="B24" s="117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"/>
    </row>
    <row r="25" spans="1:16" x14ac:dyDescent="0.25">
      <c r="A25" s="1"/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"/>
    </row>
    <row r="26" spans="1:16" x14ac:dyDescent="0.25">
      <c r="A26" s="1"/>
      <c r="B26" s="117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"/>
    </row>
    <row r="27" spans="1:16" x14ac:dyDescent="0.25">
      <c r="A27" s="1"/>
      <c r="B27" s="117"/>
      <c r="C27" s="118"/>
      <c r="D27" s="120"/>
      <c r="E27" s="120"/>
      <c r="F27" s="120"/>
      <c r="G27" s="120"/>
      <c r="H27" s="120"/>
      <c r="I27" s="120"/>
      <c r="J27" s="120"/>
      <c r="K27" s="120"/>
      <c r="L27" s="120"/>
      <c r="M27" s="118"/>
      <c r="N27" s="118"/>
      <c r="O27" s="119"/>
      <c r="P27" s="1"/>
    </row>
    <row r="28" spans="1:16" x14ac:dyDescent="0.25">
      <c r="A28" s="1"/>
      <c r="B28" s="117"/>
      <c r="C28" s="118"/>
      <c r="D28" s="120"/>
      <c r="E28" s="120"/>
      <c r="F28" s="120"/>
      <c r="G28" s="120"/>
      <c r="H28" s="120"/>
      <c r="I28" s="120"/>
      <c r="J28" s="120"/>
      <c r="K28" s="120"/>
      <c r="L28" s="120"/>
      <c r="M28" s="118"/>
      <c r="N28" s="118"/>
      <c r="O28" s="119"/>
      <c r="P28" s="1"/>
    </row>
    <row r="29" spans="1:16" x14ac:dyDescent="0.25">
      <c r="A29" s="1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"/>
    </row>
    <row r="30" spans="1:16" x14ac:dyDescent="0.25">
      <c r="A30" s="1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9"/>
      <c r="P30" s="1"/>
    </row>
    <row r="31" spans="1:16" x14ac:dyDescent="0.25">
      <c r="A31" s="1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9"/>
      <c r="P31" s="1"/>
    </row>
    <row r="32" spans="1:16" x14ac:dyDescent="0.25">
      <c r="A32" s="1"/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9"/>
      <c r="P32" s="1"/>
    </row>
    <row r="33" spans="1:16" x14ac:dyDescent="0.25">
      <c r="A33" s="1"/>
      <c r="B33" s="117"/>
      <c r="C33" s="118"/>
      <c r="D33" s="120"/>
      <c r="E33" s="120"/>
      <c r="F33" s="120"/>
      <c r="G33" s="120"/>
      <c r="H33" s="120"/>
      <c r="I33" s="120"/>
      <c r="J33" s="120"/>
      <c r="K33" s="120"/>
      <c r="L33" s="120"/>
      <c r="M33" s="121"/>
      <c r="N33" s="121"/>
      <c r="O33" s="122"/>
      <c r="P33" s="1"/>
    </row>
    <row r="34" spans="1:16" x14ac:dyDescent="0.25">
      <c r="A34" s="1"/>
      <c r="B34" s="117"/>
      <c r="C34" s="118"/>
      <c r="D34" s="120"/>
      <c r="E34" s="120"/>
      <c r="F34" s="120"/>
      <c r="G34" s="120"/>
      <c r="H34" s="120"/>
      <c r="I34" s="120"/>
      <c r="J34" s="120"/>
      <c r="K34" s="120"/>
      <c r="L34" s="120"/>
      <c r="M34" s="121"/>
      <c r="N34" s="121"/>
      <c r="O34" s="122"/>
      <c r="P34" s="1"/>
    </row>
    <row r="35" spans="1:16" x14ac:dyDescent="0.25">
      <c r="A35" s="1"/>
      <c r="B35" s="117"/>
      <c r="C35" s="118"/>
      <c r="D35" s="120"/>
      <c r="E35" s="120"/>
      <c r="F35" s="120"/>
      <c r="G35" s="120"/>
      <c r="H35" s="120"/>
      <c r="I35" s="120"/>
      <c r="J35" s="120"/>
      <c r="K35" s="120"/>
      <c r="L35" s="120"/>
      <c r="M35" s="121"/>
      <c r="N35" s="121"/>
      <c r="O35" s="122"/>
      <c r="P35" s="1"/>
    </row>
    <row r="36" spans="1:16" x14ac:dyDescent="0.25">
      <c r="A36" s="1"/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9"/>
      <c r="P36" s="1"/>
    </row>
    <row r="37" spans="1:16" x14ac:dyDescent="0.25">
      <c r="A37" s="1"/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9"/>
      <c r="P37" s="1"/>
    </row>
    <row r="38" spans="1:16" x14ac:dyDescent="0.25">
      <c r="A38" s="1"/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"/>
    </row>
    <row r="39" spans="1:16" x14ac:dyDescent="0.25">
      <c r="A39" s="1"/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9"/>
      <c r="P39" s="1"/>
    </row>
    <row r="40" spans="1:16" x14ac:dyDescent="0.25">
      <c r="A40" s="1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1"/>
    </row>
    <row r="41" spans="1:16" x14ac:dyDescent="0.25">
      <c r="A41" s="1"/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1"/>
    </row>
    <row r="42" spans="1:16" x14ac:dyDescent="0.25">
      <c r="A42" s="1"/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1"/>
    </row>
    <row r="43" spans="1:16" x14ac:dyDescent="0.25">
      <c r="A43" s="1"/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1"/>
    </row>
    <row r="44" spans="1:16" x14ac:dyDescent="0.25">
      <c r="A44" s="1"/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1"/>
    </row>
    <row r="45" spans="1:16" x14ac:dyDescent="0.25">
      <c r="A45" s="1"/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"/>
    </row>
    <row r="46" spans="1:16" x14ac:dyDescent="0.25">
      <c r="A46" s="1"/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1"/>
    </row>
    <row r="47" spans="1:16" x14ac:dyDescent="0.25">
      <c r="A47" s="1"/>
      <c r="B47" s="117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1"/>
    </row>
    <row r="48" spans="1:16" x14ac:dyDescent="0.25">
      <c r="A48" s="1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1"/>
    </row>
    <row r="49" spans="1:16" ht="15.75" thickBot="1" x14ac:dyDescent="0.3">
      <c r="A49" s="1"/>
      <c r="B49" s="123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5"/>
      <c r="P49" s="1"/>
    </row>
    <row r="50" spans="1:16" x14ac:dyDescent="0.25">
      <c r="A50" s="1"/>
      <c r="B50" s="113" t="s">
        <v>14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30"/>
      <c r="E52" s="131"/>
      <c r="F52" s="131"/>
      <c r="G52" s="131"/>
      <c r="H52" s="131"/>
      <c r="I52" s="131"/>
      <c r="J52" s="131"/>
      <c r="K52" s="131"/>
      <c r="L52" s="132"/>
      <c r="M52" s="13"/>
      <c r="N52" s="13"/>
      <c r="O52" s="14"/>
      <c r="P52" s="1"/>
    </row>
    <row r="53" spans="1:16" x14ac:dyDescent="0.25">
      <c r="A53" s="1"/>
      <c r="B53" s="15"/>
      <c r="C53" s="11"/>
      <c r="D53" s="133"/>
      <c r="E53" s="134"/>
      <c r="F53" s="134"/>
      <c r="G53" s="134"/>
      <c r="H53" s="134"/>
      <c r="I53" s="134"/>
      <c r="J53" s="134"/>
      <c r="K53" s="134"/>
      <c r="L53" s="135"/>
      <c r="M53" s="11"/>
      <c r="N53" s="11"/>
      <c r="O53" s="16"/>
      <c r="P53" s="1"/>
    </row>
    <row r="54" spans="1:16" x14ac:dyDescent="0.25">
      <c r="A54" s="1"/>
      <c r="B54" s="15"/>
      <c r="C54" s="11"/>
      <c r="D54" s="133"/>
      <c r="E54" s="134"/>
      <c r="F54" s="134"/>
      <c r="G54" s="134"/>
      <c r="H54" s="134"/>
      <c r="I54" s="134"/>
      <c r="J54" s="134"/>
      <c r="K54" s="134"/>
      <c r="L54" s="135"/>
      <c r="M54" s="11"/>
      <c r="N54" s="11"/>
      <c r="O54" s="16"/>
      <c r="P54" s="1"/>
    </row>
    <row r="55" spans="1:16" x14ac:dyDescent="0.25">
      <c r="A55" s="1"/>
      <c r="B55" s="15"/>
      <c r="C55" s="11"/>
      <c r="D55" s="133"/>
      <c r="E55" s="134"/>
      <c r="F55" s="134"/>
      <c r="G55" s="134"/>
      <c r="H55" s="134"/>
      <c r="I55" s="134"/>
      <c r="J55" s="134"/>
      <c r="K55" s="134"/>
      <c r="L55" s="135"/>
      <c r="M55" s="11"/>
      <c r="N55" s="11"/>
      <c r="O55" s="16"/>
      <c r="P55" s="1"/>
    </row>
    <row r="56" spans="1:16" x14ac:dyDescent="0.25">
      <c r="A56" s="1"/>
      <c r="B56" s="17"/>
      <c r="C56" s="18"/>
      <c r="D56" s="128"/>
      <c r="E56" s="128"/>
      <c r="F56" s="128"/>
      <c r="G56" s="128"/>
      <c r="H56" s="128"/>
      <c r="I56" s="128"/>
      <c r="J56" s="128"/>
      <c r="K56" s="128"/>
      <c r="L56" s="128"/>
      <c r="M56" s="19"/>
      <c r="N56" s="19"/>
      <c r="O56" s="20"/>
      <c r="P56" s="1"/>
    </row>
    <row r="57" spans="1:16" x14ac:dyDescent="0.25">
      <c r="A57" s="1"/>
      <c r="B57" s="17"/>
      <c r="C57" s="18"/>
      <c r="D57" s="128"/>
      <c r="E57" s="128"/>
      <c r="F57" s="128"/>
      <c r="G57" s="128"/>
      <c r="H57" s="128"/>
      <c r="I57" s="128"/>
      <c r="J57" s="128"/>
      <c r="K57" s="128"/>
      <c r="L57" s="128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43111</v>
      </c>
      <c r="D58" s="128" t="s">
        <v>0</v>
      </c>
      <c r="E58" s="128"/>
      <c r="F58" s="128"/>
      <c r="G58" s="128"/>
      <c r="H58" s="128"/>
      <c r="I58" s="128"/>
      <c r="J58" s="128"/>
      <c r="K58" s="128"/>
      <c r="L58" s="128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29" t="s">
        <v>18</v>
      </c>
      <c r="E59" s="129"/>
      <c r="F59" s="129"/>
      <c r="G59" s="129"/>
      <c r="H59" s="129"/>
      <c r="I59" s="129"/>
      <c r="J59" s="129"/>
      <c r="K59" s="129"/>
      <c r="L59" s="129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view="pageBreakPreview" topLeftCell="A19" zoomScaleNormal="85" zoomScaleSheetLayoutView="100" workbookViewId="0">
      <selection activeCell="D27" sqref="D27:L27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36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  <c r="O2" s="3"/>
      <c r="P2" s="1"/>
    </row>
    <row r="3" spans="1:16" x14ac:dyDescent="0.25">
      <c r="A3" s="1"/>
      <c r="B3" s="1"/>
      <c r="C3" s="139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40"/>
      <c r="O3" s="1"/>
      <c r="P3" s="1"/>
    </row>
    <row r="4" spans="1:16" x14ac:dyDescent="0.25">
      <c r="A4" s="1"/>
      <c r="B4" s="1"/>
      <c r="C4" s="139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40"/>
      <c r="O4" s="1"/>
      <c r="P4" s="1"/>
    </row>
    <row r="5" spans="1:16" x14ac:dyDescent="0.25">
      <c r="A5" s="1"/>
      <c r="B5" s="1"/>
      <c r="C5" s="139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40"/>
      <c r="O5" s="1"/>
      <c r="P5" s="1"/>
    </row>
    <row r="6" spans="1:16" x14ac:dyDescent="0.25">
      <c r="A6" s="1"/>
      <c r="B6" s="1"/>
      <c r="C6" s="139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40"/>
      <c r="O6" s="1"/>
    </row>
    <row r="7" spans="1:16" x14ac:dyDescent="0.25">
      <c r="A7" s="1"/>
      <c r="B7" s="1"/>
      <c r="C7" s="141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234" t="s">
        <v>0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6"/>
      <c r="P9" s="1"/>
    </row>
    <row r="10" spans="1:16" ht="18.75" x14ac:dyDescent="0.25">
      <c r="A10" s="1"/>
      <c r="B10" s="237" t="str">
        <f>IF(ISBLANK(Synthèse!B2),"",Synthèse!B2)</f>
        <v>OPP_4-6_LT_26165_LVON_002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244" t="s">
        <v>2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38" t="s">
        <v>13</v>
      </c>
      <c r="N12" s="239"/>
      <c r="O12" s="240"/>
      <c r="P12" s="1"/>
    </row>
    <row r="13" spans="1:16" x14ac:dyDescent="0.25">
      <c r="A13" s="1"/>
      <c r="B13" s="246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1"/>
      <c r="N13" s="242"/>
      <c r="O13" s="243"/>
      <c r="P13" s="1"/>
    </row>
    <row r="14" spans="1:16" ht="42" customHeight="1" x14ac:dyDescent="0.25">
      <c r="A14" s="1"/>
      <c r="B14" s="209" t="s">
        <v>7</v>
      </c>
      <c r="C14" s="209"/>
      <c r="D14" s="220" t="str">
        <f>IF(ISBLANK(Synthèse!F2),"",Synthèse!F2)</f>
        <v>Enfouissement HTA</v>
      </c>
      <c r="E14" s="221"/>
      <c r="F14" s="221"/>
      <c r="G14" s="221"/>
      <c r="H14" s="221"/>
      <c r="I14" s="221"/>
      <c r="J14" s="221"/>
      <c r="K14" s="221"/>
      <c r="L14" s="222"/>
      <c r="M14" s="215">
        <f>'Pondération '!J4</f>
        <v>4</v>
      </c>
      <c r="N14" s="215"/>
      <c r="O14" s="215"/>
      <c r="P14" s="228">
        <f>'Pondération '!J18</f>
        <v>30</v>
      </c>
    </row>
    <row r="15" spans="1:16" ht="34.5" customHeight="1" x14ac:dyDescent="0.25">
      <c r="A15" s="1"/>
      <c r="B15" s="209" t="s">
        <v>8</v>
      </c>
      <c r="C15" s="209"/>
      <c r="D15" s="220" t="str">
        <f>IF(ISBLANK(Synthèse!G2),"Inconnue",Synthèse!G2)</f>
        <v>Aerien BT</v>
      </c>
      <c r="E15" s="221"/>
      <c r="F15" s="221"/>
      <c r="G15" s="221"/>
      <c r="H15" s="221"/>
      <c r="I15" s="221"/>
      <c r="J15" s="221"/>
      <c r="K15" s="221"/>
      <c r="L15" s="222"/>
      <c r="M15" s="215">
        <f>'Pondération '!J6</f>
        <v>3</v>
      </c>
      <c r="N15" s="215"/>
      <c r="O15" s="215"/>
      <c r="P15" s="229"/>
    </row>
    <row r="16" spans="1:16" ht="35.1" customHeight="1" x14ac:dyDescent="0.25">
      <c r="A16" s="1"/>
      <c r="B16" s="209" t="s">
        <v>9</v>
      </c>
      <c r="C16" s="209"/>
      <c r="D16" s="220" t="str">
        <f>IF(ISBLANK(Synthèse!H2),"Inconnue",Synthèse!H2)</f>
        <v>1 X 720</v>
      </c>
      <c r="E16" s="221"/>
      <c r="F16" s="221"/>
      <c r="G16" s="221"/>
      <c r="H16" s="221"/>
      <c r="I16" s="221"/>
      <c r="J16" s="221"/>
      <c r="K16" s="221"/>
      <c r="L16" s="222"/>
      <c r="M16" s="215">
        <f>'Pondération '!J8</f>
        <v>6</v>
      </c>
      <c r="N16" s="215"/>
      <c r="O16" s="215"/>
      <c r="P16" s="229"/>
    </row>
    <row r="17" spans="1:20" ht="45" customHeight="1" x14ac:dyDescent="0.25">
      <c r="A17" s="1"/>
      <c r="B17" s="209" t="s">
        <v>10</v>
      </c>
      <c r="C17" s="209"/>
      <c r="D17" s="223">
        <f>IF(ISBLANK(Synthèse!J2),"Inconnu",Synthèse!J2)</f>
        <v>2018</v>
      </c>
      <c r="E17" s="224"/>
      <c r="F17" s="224"/>
      <c r="G17" s="224"/>
      <c r="H17" s="224"/>
      <c r="I17" s="224"/>
      <c r="J17" s="224"/>
      <c r="K17" s="224"/>
      <c r="L17" s="225"/>
      <c r="M17" s="215">
        <f>'Pondération '!J10</f>
        <v>5</v>
      </c>
      <c r="N17" s="215"/>
      <c r="O17" s="215"/>
      <c r="P17" s="229"/>
    </row>
    <row r="18" spans="1:20" ht="45" customHeight="1" x14ac:dyDescent="0.25">
      <c r="A18" s="1"/>
      <c r="B18" s="209" t="s">
        <v>156</v>
      </c>
      <c r="C18" s="209"/>
      <c r="D18" s="217" t="str">
        <f>IF(ISBLANK(Synthèse!K2),"",Synthèse!K2)</f>
        <v>Hiver 2018</v>
      </c>
      <c r="E18" s="218"/>
      <c r="F18" s="218"/>
      <c r="G18" s="218"/>
      <c r="H18" s="218"/>
      <c r="I18" s="218"/>
      <c r="J18" s="218"/>
      <c r="K18" s="218"/>
      <c r="L18" s="219"/>
      <c r="M18" s="215">
        <f>'Pondération '!J12</f>
        <v>6</v>
      </c>
      <c r="N18" s="215"/>
      <c r="O18" s="215"/>
      <c r="P18" s="229"/>
    </row>
    <row r="19" spans="1:20" ht="45" customHeight="1" thickBot="1" x14ac:dyDescent="0.3">
      <c r="A19" s="1"/>
      <c r="B19" s="209" t="s">
        <v>11</v>
      </c>
      <c r="C19" s="209"/>
      <c r="D19" s="217" t="str">
        <f>IF(ISBLANK(Synthèse!L2),"",Synthèse!L2)</f>
        <v>Enedis</v>
      </c>
      <c r="E19" s="218"/>
      <c r="F19" s="218"/>
      <c r="G19" s="218"/>
      <c r="H19" s="218"/>
      <c r="I19" s="218"/>
      <c r="J19" s="218"/>
      <c r="K19" s="218"/>
      <c r="L19" s="219"/>
      <c r="M19" s="215">
        <f>'Pondération '!J14</f>
        <v>5</v>
      </c>
      <c r="N19" s="215"/>
      <c r="O19" s="215"/>
      <c r="P19" s="229"/>
    </row>
    <row r="20" spans="1:20" ht="45" customHeight="1" x14ac:dyDescent="0.25">
      <c r="A20" s="1"/>
      <c r="B20" s="209" t="s">
        <v>12</v>
      </c>
      <c r="C20" s="209"/>
      <c r="D20" s="217">
        <f>IF(ISBLANK(Synthèse!M2),"",Synthèse!M2)</f>
        <v>50</v>
      </c>
      <c r="E20" s="218"/>
      <c r="F20" s="218"/>
      <c r="G20" s="218"/>
      <c r="H20" s="218"/>
      <c r="I20" s="218"/>
      <c r="J20" s="218"/>
      <c r="K20" s="218"/>
      <c r="L20" s="219"/>
      <c r="M20" s="215">
        <f>'Pondération '!J16</f>
        <v>1</v>
      </c>
      <c r="N20" s="215"/>
      <c r="O20" s="215"/>
      <c r="P20" s="230"/>
      <c r="S20" s="159" t="s">
        <v>162</v>
      </c>
      <c r="T20" s="160"/>
    </row>
    <row r="21" spans="1:20" ht="35.1" customHeight="1" x14ac:dyDescent="0.25">
      <c r="A21" s="1"/>
      <c r="B21" s="216"/>
      <c r="C21" s="216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"/>
      <c r="S21" s="161" t="str">
        <f>P14+P33+P38&amp;"/100"</f>
        <v>90/100</v>
      </c>
      <c r="T21" s="162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89"/>
      <c r="T22" s="90"/>
    </row>
    <row r="23" spans="1:20" ht="15.75" customHeight="1" thickBot="1" x14ac:dyDescent="0.3">
      <c r="A23" s="1"/>
      <c r="B23" s="197" t="s">
        <v>1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9"/>
      <c r="M23" s="3"/>
      <c r="N23" s="3"/>
      <c r="O23" s="3"/>
      <c r="P23" s="56"/>
      <c r="S23" s="91"/>
      <c r="T23" s="92"/>
    </row>
    <row r="24" spans="1:20" x14ac:dyDescent="0.25">
      <c r="A24" s="1"/>
      <c r="B24" s="200"/>
      <c r="C24" s="201"/>
      <c r="D24" s="201"/>
      <c r="E24" s="201"/>
      <c r="F24" s="201"/>
      <c r="G24" s="201"/>
      <c r="H24" s="201"/>
      <c r="I24" s="201"/>
      <c r="J24" s="201"/>
      <c r="K24" s="201"/>
      <c r="L24" s="202"/>
      <c r="M24" s="214"/>
      <c r="N24" s="214"/>
      <c r="O24" s="214"/>
      <c r="P24" s="72"/>
    </row>
    <row r="25" spans="1:20" ht="50.25" customHeight="1" x14ac:dyDescent="0.25">
      <c r="A25" s="1"/>
      <c r="B25" s="209" t="s">
        <v>22</v>
      </c>
      <c r="C25" s="209"/>
      <c r="D25" s="181">
        <f>IF(ISBLANK(Synthèse!O2),0,Synthèse!O2)</f>
        <v>0</v>
      </c>
      <c r="E25" s="182"/>
      <c r="F25" s="182"/>
      <c r="G25" s="182"/>
      <c r="H25" s="182"/>
      <c r="I25" s="182"/>
      <c r="J25" s="182"/>
      <c r="K25" s="182"/>
      <c r="L25" s="183"/>
      <c r="M25" s="214"/>
      <c r="N25" s="214"/>
      <c r="O25" s="214"/>
      <c r="P25" s="88"/>
    </row>
    <row r="26" spans="1:20" ht="45" customHeight="1" x14ac:dyDescent="0.25">
      <c r="A26" s="1"/>
      <c r="B26" s="193" t="s">
        <v>23</v>
      </c>
      <c r="C26" s="193"/>
      <c r="D26" s="181">
        <f>IF(ISBLANK(Synthèse!P2),"",Synthèse!P2)</f>
        <v>7</v>
      </c>
      <c r="E26" s="182"/>
      <c r="F26" s="182"/>
      <c r="G26" s="182"/>
      <c r="H26" s="182"/>
      <c r="I26" s="182"/>
      <c r="J26" s="182"/>
      <c r="K26" s="182"/>
      <c r="L26" s="183"/>
      <c r="M26" s="172"/>
      <c r="N26" s="172"/>
      <c r="O26" s="172"/>
      <c r="P26" s="172"/>
      <c r="S26" s="87"/>
    </row>
    <row r="27" spans="1:20" ht="47.25" customHeight="1" x14ac:dyDescent="0.25">
      <c r="A27" s="1"/>
      <c r="B27" s="193" t="s">
        <v>24</v>
      </c>
      <c r="C27" s="193"/>
      <c r="D27" s="184">
        <f>SUM(GC!H2:H37)</f>
        <v>25</v>
      </c>
      <c r="E27" s="185"/>
      <c r="F27" s="185"/>
      <c r="G27" s="185"/>
      <c r="H27" s="185"/>
      <c r="I27" s="185"/>
      <c r="J27" s="185"/>
      <c r="K27" s="185"/>
      <c r="L27" s="186"/>
      <c r="M27" s="172"/>
      <c r="N27" s="172"/>
      <c r="O27" s="172"/>
      <c r="P27" s="172"/>
    </row>
    <row r="28" spans="1:20" ht="47.25" customHeight="1" thickBot="1" x14ac:dyDescent="0.3">
      <c r="A28" s="1"/>
      <c r="B28" s="193" t="s">
        <v>25</v>
      </c>
      <c r="C28" s="193"/>
      <c r="D28" s="187">
        <f>SUM(GC!F2:F37)</f>
        <v>3018</v>
      </c>
      <c r="E28" s="188"/>
      <c r="F28" s="188"/>
      <c r="G28" s="188"/>
      <c r="H28" s="188"/>
      <c r="I28" s="188"/>
      <c r="J28" s="188"/>
      <c r="K28" s="188"/>
      <c r="L28" s="189"/>
      <c r="M28" s="172"/>
      <c r="N28" s="172"/>
      <c r="O28" s="172"/>
      <c r="P28" s="172"/>
    </row>
    <row r="29" spans="1:20" x14ac:dyDescent="0.25">
      <c r="A29" s="1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72"/>
      <c r="N29" s="172"/>
      <c r="O29" s="172"/>
      <c r="P29" s="172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210" t="s">
        <v>3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03" t="s">
        <v>13</v>
      </c>
      <c r="N31" s="204"/>
      <c r="O31" s="205"/>
      <c r="P31" s="1"/>
    </row>
    <row r="32" spans="1:20" x14ac:dyDescent="0.25">
      <c r="A32" s="1"/>
      <c r="B32" s="212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06"/>
      <c r="N32" s="207"/>
      <c r="O32" s="208"/>
      <c r="P32" s="1"/>
    </row>
    <row r="33" spans="1:16" x14ac:dyDescent="0.25">
      <c r="A33" s="1"/>
      <c r="B33" s="209" t="s">
        <v>26</v>
      </c>
      <c r="C33" s="209"/>
      <c r="D33" s="190">
        <f>SUM('Pondération '!E52:E58)</f>
        <v>249550</v>
      </c>
      <c r="E33" s="191"/>
      <c r="F33" s="191"/>
      <c r="G33" s="191"/>
      <c r="H33" s="191"/>
      <c r="I33" s="191"/>
      <c r="J33" s="191"/>
      <c r="K33" s="191"/>
      <c r="L33" s="192"/>
      <c r="M33" s="163">
        <f>'Pondération '!F60</f>
        <v>40</v>
      </c>
      <c r="N33" s="164"/>
      <c r="O33" s="165"/>
      <c r="P33" s="231">
        <f>M33</f>
        <v>40</v>
      </c>
    </row>
    <row r="34" spans="1:16" x14ac:dyDescent="0.25">
      <c r="A34" s="1"/>
      <c r="B34" s="193" t="s">
        <v>27</v>
      </c>
      <c r="C34" s="193"/>
      <c r="D34" s="194">
        <f>SUM('Pondération '!E48:E50,'Pondération '!E35:E41)</f>
        <v>12875</v>
      </c>
      <c r="E34" s="195"/>
      <c r="F34" s="195"/>
      <c r="G34" s="195"/>
      <c r="H34" s="195"/>
      <c r="I34" s="195"/>
      <c r="J34" s="195"/>
      <c r="K34" s="195"/>
      <c r="L34" s="196"/>
      <c r="M34" s="166"/>
      <c r="N34" s="167"/>
      <c r="O34" s="168"/>
      <c r="P34" s="232"/>
    </row>
    <row r="35" spans="1:16" x14ac:dyDescent="0.25">
      <c r="A35" s="1"/>
      <c r="B35" s="193" t="s">
        <v>44</v>
      </c>
      <c r="C35" s="193"/>
      <c r="D35" s="194">
        <f>'Pondération '!E43</f>
        <v>0</v>
      </c>
      <c r="E35" s="195"/>
      <c r="F35" s="195"/>
      <c r="G35" s="195"/>
      <c r="H35" s="195"/>
      <c r="I35" s="195"/>
      <c r="J35" s="195"/>
      <c r="K35" s="195"/>
      <c r="L35" s="196"/>
      <c r="M35" s="169"/>
      <c r="N35" s="170"/>
      <c r="O35" s="171"/>
      <c r="P35" s="233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77" t="s">
        <v>124</v>
      </c>
      <c r="N37" s="178"/>
      <c r="O37" s="226"/>
      <c r="P37" s="57"/>
    </row>
    <row r="38" spans="1:16" ht="14.45" customHeight="1" x14ac:dyDescent="0.25">
      <c r="A38" s="1"/>
      <c r="B38" s="173" t="s">
        <v>28</v>
      </c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7" t="s">
        <v>123</v>
      </c>
      <c r="N38" s="178"/>
      <c r="O38" s="178"/>
      <c r="P38" s="227">
        <v>20</v>
      </c>
    </row>
    <row r="39" spans="1:16" x14ac:dyDescent="0.25">
      <c r="A39" s="1"/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9"/>
      <c r="N39" s="180"/>
      <c r="O39" s="180"/>
      <c r="P39" s="227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1:16" x14ac:dyDescent="0.25">
      <c r="A42" s="1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  <row r="43" spans="1:16" x14ac:dyDescent="0.25">
      <c r="A43" s="1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</row>
    <row r="44" spans="1:16" x14ac:dyDescent="0.25">
      <c r="A44" s="1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</row>
    <row r="45" spans="1:16" x14ac:dyDescent="0.25">
      <c r="A45" s="1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</row>
    <row r="46" spans="1:16" x14ac:dyDescent="0.25">
      <c r="A46" s="1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</row>
    <row r="47" spans="1:16" x14ac:dyDescent="0.25">
      <c r="A47" s="1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</row>
    <row r="48" spans="1:16" x14ac:dyDescent="0.25">
      <c r="A48" s="1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A49" s="1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A50" s="1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A51" s="1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A52" s="1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  <mergeCell ref="M15:O15"/>
    <mergeCell ref="D15:L15"/>
    <mergeCell ref="D16:L16"/>
    <mergeCell ref="D17:L17"/>
    <mergeCell ref="D14:L14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8"/>
  <sheetViews>
    <sheetView tabSelected="1" topLeftCell="A40" workbookViewId="0">
      <selection activeCell="H60" sqref="H60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63" t="s">
        <v>2</v>
      </c>
      <c r="C2" s="264"/>
      <c r="D2" s="264"/>
      <c r="E2" s="264"/>
      <c r="F2" s="264"/>
      <c r="G2" s="264"/>
      <c r="H2" s="264"/>
      <c r="I2" s="265"/>
    </row>
    <row r="3" spans="2:11" ht="15.75" thickBot="1" x14ac:dyDescent="0.3">
      <c r="B3" s="268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67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4</v>
      </c>
      <c r="K4" s="38"/>
    </row>
    <row r="5" spans="2:11" ht="15.75" thickBot="1" x14ac:dyDescent="0.3">
      <c r="B5" s="268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69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3</v>
      </c>
      <c r="K6" s="40"/>
    </row>
    <row r="7" spans="2:11" ht="16.5" thickTop="1" thickBot="1" x14ac:dyDescent="0.3">
      <c r="B7" s="266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67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68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69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5</v>
      </c>
      <c r="K10" s="38"/>
    </row>
    <row r="11" spans="2:11" ht="16.5" thickTop="1" thickBot="1" x14ac:dyDescent="0.3">
      <c r="B11" s="266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67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6</v>
      </c>
      <c r="K12" s="38"/>
    </row>
    <row r="13" spans="2:11" ht="16.5" thickTop="1" thickBot="1" x14ac:dyDescent="0.3">
      <c r="B13" s="268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69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66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67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=10,C16,IF(AND(Synthèse!M2&gt;10,Synthèse!M2&lt;=50),D16,IF(AND(Synthèse!M2&gt;50,Synthèse!M2&lt;=100),E16,IF(AND(Synthèse!M2&gt;100,Synthèse!M2&lt;=500),F16,IF(AND(Synthèse!M2&gt;500,Synthèse!M2&lt;=1000),G16,IF(AND(Synthèse!M2&gt;1000,Synthèse!M2&lt;=2000),H16,IF(Synthèse!M2&gt;2000,I16)))))))</f>
        <v>1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6">
        <f>SUM(J4,J6,J8,J10,J12,J14,J16)</f>
        <v>30</v>
      </c>
    </row>
    <row r="19" spans="2:10" ht="16.5" thickTop="1" thickBot="1" x14ac:dyDescent="0.3"/>
    <row r="20" spans="2:10" ht="15.75" thickBot="1" x14ac:dyDescent="0.3">
      <c r="B20" s="255" t="s">
        <v>3</v>
      </c>
      <c r="C20" s="256"/>
      <c r="D20" s="256"/>
      <c r="E20" s="256"/>
      <c r="F20" s="256"/>
      <c r="G20" s="256"/>
      <c r="H20" s="256"/>
      <c r="I20" s="257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116</v>
      </c>
      <c r="D23" s="66" t="s">
        <v>139</v>
      </c>
      <c r="E23" s="66" t="s">
        <v>140</v>
      </c>
      <c r="F23" s="66" t="s">
        <v>119</v>
      </c>
      <c r="G23" s="66" t="s">
        <v>141</v>
      </c>
      <c r="H23" s="66" t="s">
        <v>142</v>
      </c>
      <c r="I23" s="67" t="s">
        <v>122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143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8" spans="2:10" ht="15.75" thickBot="1" x14ac:dyDescent="0.3"/>
    <row r="29" spans="2:10" x14ac:dyDescent="0.25">
      <c r="B29" s="107" t="s">
        <v>23</v>
      </c>
      <c r="C29" s="108" t="s">
        <v>136</v>
      </c>
      <c r="D29" s="108" t="s">
        <v>137</v>
      </c>
      <c r="E29" s="109" t="s">
        <v>138</v>
      </c>
    </row>
    <row r="30" spans="2:10" ht="15.75" thickBot="1" x14ac:dyDescent="0.3">
      <c r="B30" s="110"/>
      <c r="C30" s="111">
        <v>2000</v>
      </c>
      <c r="D30" s="111">
        <v>500</v>
      </c>
      <c r="E30" s="112">
        <v>1000</v>
      </c>
    </row>
    <row r="33" spans="2:7" ht="15.75" thickBot="1" x14ac:dyDescent="0.3"/>
    <row r="34" spans="2:7" ht="15.75" thickBot="1" x14ac:dyDescent="0.3">
      <c r="B34" s="97" t="s">
        <v>133</v>
      </c>
      <c r="C34" s="97" t="s">
        <v>145</v>
      </c>
      <c r="D34" s="97" t="s">
        <v>149</v>
      </c>
      <c r="E34" s="97" t="s">
        <v>147</v>
      </c>
      <c r="F34" s="104" t="s">
        <v>150</v>
      </c>
    </row>
    <row r="35" spans="2:7" x14ac:dyDescent="0.25">
      <c r="B35" s="100" t="s">
        <v>116</v>
      </c>
      <c r="C35" s="100">
        <f>SUMIF(GC!G2:G37,"Pleine terre",GC!H2:H37)</f>
        <v>0</v>
      </c>
      <c r="D35" s="100">
        <v>20</v>
      </c>
      <c r="E35" s="105">
        <f>C35*D35</f>
        <v>0</v>
      </c>
      <c r="F35" s="252">
        <f>SUM(E48:E50)+SUM(E43:E46)+SUM(E35:E41)</f>
        <v>118505</v>
      </c>
    </row>
    <row r="36" spans="2:7" x14ac:dyDescent="0.25">
      <c r="B36" s="81" t="s">
        <v>139</v>
      </c>
      <c r="C36" s="81">
        <f>SUMIF(GC!G2:G37,"Accotement non stabilise",GC!H2:H37)</f>
        <v>0</v>
      </c>
      <c r="D36" s="81">
        <v>25</v>
      </c>
      <c r="E36" s="93">
        <f t="shared" ref="E36:E41" si="0">C36*D36</f>
        <v>0</v>
      </c>
      <c r="F36" s="253"/>
    </row>
    <row r="37" spans="2:7" x14ac:dyDescent="0.25">
      <c r="B37" s="81" t="s">
        <v>140</v>
      </c>
      <c r="C37" s="81">
        <f>SUMIF(GC!G2:G37,"Accotement stabilise",GC!H2:H37)</f>
        <v>0</v>
      </c>
      <c r="D37" s="81">
        <v>35</v>
      </c>
      <c r="E37" s="93">
        <f t="shared" si="0"/>
        <v>0</v>
      </c>
      <c r="F37" s="253"/>
      <c r="G37" s="26"/>
    </row>
    <row r="38" spans="2:7" x14ac:dyDescent="0.25">
      <c r="B38" s="81" t="s">
        <v>119</v>
      </c>
      <c r="C38" s="81">
        <f>SUMIF(GC!G2:G37,"Chemin",GC!H2:H37)</f>
        <v>0</v>
      </c>
      <c r="D38" s="81">
        <v>35</v>
      </c>
      <c r="E38" s="93">
        <f t="shared" si="0"/>
        <v>0</v>
      </c>
      <c r="F38" s="253"/>
    </row>
    <row r="39" spans="2:7" x14ac:dyDescent="0.25">
      <c r="B39" s="81" t="s">
        <v>141</v>
      </c>
      <c r="C39" s="81">
        <f>SUMIF(GC!G2:G37,"Axe mi-chaussee",GC!H2:H37)</f>
        <v>25</v>
      </c>
      <c r="D39" s="81">
        <v>75</v>
      </c>
      <c r="E39" s="93">
        <f t="shared" si="0"/>
        <v>1875</v>
      </c>
      <c r="F39" s="253"/>
    </row>
    <row r="40" spans="2:7" x14ac:dyDescent="0.25">
      <c r="B40" s="81" t="s">
        <v>142</v>
      </c>
      <c r="C40" s="81">
        <f>SUMIF(GC!G2:G37,"Chaussee lourde",GC!H2:H37)</f>
        <v>0</v>
      </c>
      <c r="D40" s="81">
        <v>100</v>
      </c>
      <c r="E40" s="93">
        <f t="shared" si="0"/>
        <v>0</v>
      </c>
      <c r="F40" s="253"/>
    </row>
    <row r="41" spans="2:7" ht="15.75" thickBot="1" x14ac:dyDescent="0.3">
      <c r="B41" s="95" t="s">
        <v>122</v>
      </c>
      <c r="C41" s="95">
        <f>SUMIF(GC!G2:G37,"Ouvrage arts",GC!H2:H37)</f>
        <v>0</v>
      </c>
      <c r="D41" s="95">
        <v>200</v>
      </c>
      <c r="E41" s="106">
        <f t="shared" si="0"/>
        <v>0</v>
      </c>
      <c r="F41" s="253"/>
    </row>
    <row r="42" spans="2:7" ht="15.75" thickBot="1" x14ac:dyDescent="0.3">
      <c r="B42" s="97" t="s">
        <v>134</v>
      </c>
      <c r="C42" s="97" t="s">
        <v>145</v>
      </c>
      <c r="D42" s="97" t="s">
        <v>149</v>
      </c>
      <c r="E42" s="101" t="s">
        <v>147</v>
      </c>
      <c r="F42" s="253"/>
    </row>
    <row r="43" spans="2:7" x14ac:dyDescent="0.25">
      <c r="B43" s="81" t="s">
        <v>72</v>
      </c>
      <c r="C43" s="81">
        <f>SUMIF(GC!E2:E37,"Surlargeur",GC!F2:F37)</f>
        <v>0</v>
      </c>
      <c r="D43" s="81">
        <v>75</v>
      </c>
      <c r="E43" s="81">
        <f>C43*D43</f>
        <v>0</v>
      </c>
      <c r="F43" s="253"/>
    </row>
    <row r="44" spans="2:7" x14ac:dyDescent="0.25">
      <c r="B44" s="81" t="s">
        <v>53</v>
      </c>
      <c r="C44" s="81">
        <f>SUMIF(GC!E2:E37,"Superieur",GC!F2:F37)</f>
        <v>3018</v>
      </c>
      <c r="D44" s="81">
        <v>35</v>
      </c>
      <c r="E44" s="81">
        <f>C44*D44</f>
        <v>105630</v>
      </c>
      <c r="F44" s="253"/>
    </row>
    <row r="45" spans="2:7" x14ac:dyDescent="0.25">
      <c r="B45" s="81" t="s">
        <v>52</v>
      </c>
      <c r="C45" s="81">
        <f>SUMIF(GC!E2:E37,"Identique",GC!F2:F37)</f>
        <v>0</v>
      </c>
      <c r="D45" s="81">
        <v>25</v>
      </c>
      <c r="E45" s="81">
        <f>C45*D45</f>
        <v>0</v>
      </c>
      <c r="F45" s="253"/>
    </row>
    <row r="46" spans="2:7" ht="15.75" thickBot="1" x14ac:dyDescent="0.3">
      <c r="B46" s="81" t="s">
        <v>143</v>
      </c>
      <c r="C46" s="81">
        <f>SUMIF(GC!E2:E37,"Inferieur",GC!F2:F37)</f>
        <v>0</v>
      </c>
      <c r="D46" s="81">
        <v>10</v>
      </c>
      <c r="E46" s="81">
        <f>C46*D46</f>
        <v>0</v>
      </c>
      <c r="F46" s="253"/>
    </row>
    <row r="47" spans="2:7" ht="15.75" thickBot="1" x14ac:dyDescent="0.3">
      <c r="B47" s="97" t="s">
        <v>135</v>
      </c>
      <c r="C47" s="97" t="s">
        <v>146</v>
      </c>
      <c r="D47" s="97" t="s">
        <v>149</v>
      </c>
      <c r="E47" s="101" t="s">
        <v>147</v>
      </c>
      <c r="F47" s="253"/>
      <c r="G47" s="60"/>
    </row>
    <row r="48" spans="2:7" x14ac:dyDescent="0.25">
      <c r="B48" s="100" t="s">
        <v>136</v>
      </c>
      <c r="C48" s="100">
        <f>Synthèse!R2</f>
        <v>5</v>
      </c>
      <c r="D48" s="103">
        <f>IF(B48="CHB Transport",C30)</f>
        <v>2000</v>
      </c>
      <c r="E48" s="105">
        <f>C48*D48</f>
        <v>10000</v>
      </c>
      <c r="F48" s="253"/>
      <c r="G48" s="61"/>
    </row>
    <row r="49" spans="2:9" x14ac:dyDescent="0.25">
      <c r="B49" s="81" t="s">
        <v>137</v>
      </c>
      <c r="C49" s="81">
        <f>Synthèse!Q2</f>
        <v>2</v>
      </c>
      <c r="D49" s="82">
        <f>IF(B49="CHB Desserte",D30)</f>
        <v>500</v>
      </c>
      <c r="E49" s="93">
        <f>D49*C49</f>
        <v>1000</v>
      </c>
      <c r="F49" s="253"/>
      <c r="G49" s="61"/>
    </row>
    <row r="50" spans="2:9" ht="15.75" thickBot="1" x14ac:dyDescent="0.3">
      <c r="B50" s="95" t="s">
        <v>138</v>
      </c>
      <c r="C50" s="95">
        <f>Synthèse!S2</f>
        <v>0</v>
      </c>
      <c r="D50" s="99">
        <f>IF(B50="CHB Indefinie",E30)</f>
        <v>1000</v>
      </c>
      <c r="E50" s="106">
        <f>D50*C50</f>
        <v>0</v>
      </c>
      <c r="F50" s="254"/>
      <c r="G50" s="61"/>
    </row>
    <row r="51" spans="2:9" ht="15.75" thickBot="1" x14ac:dyDescent="0.3">
      <c r="B51" s="101" t="s">
        <v>144</v>
      </c>
      <c r="C51" s="97" t="s">
        <v>145</v>
      </c>
      <c r="D51" s="97" t="s">
        <v>149</v>
      </c>
      <c r="E51" s="97" t="s">
        <v>147</v>
      </c>
      <c r="F51" s="102" t="s">
        <v>151</v>
      </c>
    </row>
    <row r="52" spans="2:9" x14ac:dyDescent="0.25">
      <c r="B52" s="100" t="s">
        <v>73</v>
      </c>
      <c r="C52" s="100">
        <f>SUMIF(GC!C2:C37,"ADN",GC!D2:D37)</f>
        <v>0</v>
      </c>
      <c r="D52" s="100">
        <v>0</v>
      </c>
      <c r="E52" s="105">
        <f>C52*D52</f>
        <v>0</v>
      </c>
      <c r="F52" s="252">
        <f>SUM(E52:E58)</f>
        <v>249550</v>
      </c>
    </row>
    <row r="53" spans="2:9" x14ac:dyDescent="0.25">
      <c r="B53" s="81" t="s">
        <v>41</v>
      </c>
      <c r="C53" s="94">
        <f>SUMIF(GC!C2:C37,"HTA",GC!D2:D37)</f>
        <v>0</v>
      </c>
      <c r="D53" s="81">
        <v>50</v>
      </c>
      <c r="E53" s="93">
        <f t="shared" ref="E53:E58" si="1">C53*D53</f>
        <v>0</v>
      </c>
      <c r="F53" s="253"/>
      <c r="G53" s="85"/>
    </row>
    <row r="54" spans="2:9" x14ac:dyDescent="0.25">
      <c r="B54" s="81" t="s">
        <v>74</v>
      </c>
      <c r="C54" s="94">
        <f>SUMIF(GC!C2:C37,"Aerien BT",GC!D2:D37)</f>
        <v>2000</v>
      </c>
      <c r="D54" s="81">
        <v>50</v>
      </c>
      <c r="E54" s="93">
        <f t="shared" si="1"/>
        <v>100000</v>
      </c>
      <c r="F54" s="253"/>
      <c r="G54" s="85"/>
    </row>
    <row r="55" spans="2:9" x14ac:dyDescent="0.25">
      <c r="B55" s="81" t="s">
        <v>75</v>
      </c>
      <c r="C55" s="94">
        <f>SUMIF(GC!C2:C37,"Aerien FT",GC!D2:D37)</f>
        <v>0</v>
      </c>
      <c r="D55" s="81">
        <v>30</v>
      </c>
      <c r="E55" s="93">
        <f t="shared" si="1"/>
        <v>0</v>
      </c>
      <c r="F55" s="253"/>
      <c r="G55" s="85"/>
    </row>
    <row r="56" spans="2:9" x14ac:dyDescent="0.25">
      <c r="B56" s="81" t="s">
        <v>76</v>
      </c>
      <c r="C56" s="94">
        <f>SUMIF(GC!C2:C37,"Conduite FT",GC!D2:D37)</f>
        <v>0</v>
      </c>
      <c r="D56" s="81">
        <v>30</v>
      </c>
      <c r="E56" s="93">
        <f t="shared" si="1"/>
        <v>0</v>
      </c>
      <c r="F56" s="253"/>
      <c r="G56" s="85"/>
    </row>
    <row r="57" spans="2:9" x14ac:dyDescent="0.25">
      <c r="B57" s="81" t="s">
        <v>78</v>
      </c>
      <c r="C57" s="94">
        <f>SUMIF(GC!C2:C37,"GC a creer",GC!D2:D37)</f>
        <v>1994</v>
      </c>
      <c r="D57" s="81">
        <v>75</v>
      </c>
      <c r="E57" s="93">
        <f t="shared" si="1"/>
        <v>149550</v>
      </c>
      <c r="F57" s="253"/>
      <c r="G57" s="85"/>
    </row>
    <row r="58" spans="2:9" ht="15.75" thickBot="1" x14ac:dyDescent="0.3">
      <c r="B58" s="95" t="s">
        <v>77</v>
      </c>
      <c r="C58" s="96">
        <f>SUMIF(GC!C2:C37,"Passage ouvrage",GC!D2:D37)</f>
        <v>0</v>
      </c>
      <c r="D58" s="95">
        <v>200</v>
      </c>
      <c r="E58" s="106">
        <f t="shared" si="1"/>
        <v>0</v>
      </c>
      <c r="F58" s="254"/>
      <c r="G58" s="85"/>
      <c r="H58" s="85"/>
    </row>
    <row r="59" spans="2:9" ht="15.75" thickBot="1" x14ac:dyDescent="0.3">
      <c r="B59" s="258" t="s">
        <v>152</v>
      </c>
      <c r="C59" s="259"/>
      <c r="D59" s="259"/>
      <c r="E59" s="259"/>
      <c r="F59" s="98">
        <f>F52/F35</f>
        <v>2.1058183199021139</v>
      </c>
      <c r="G59" s="85"/>
    </row>
    <row r="60" spans="2:9" ht="15.75" thickBot="1" x14ac:dyDescent="0.3">
      <c r="B60" s="260" t="s">
        <v>153</v>
      </c>
      <c r="C60" s="261"/>
      <c r="D60" s="261"/>
      <c r="E60" s="262"/>
      <c r="F60" s="97">
        <f>IF(F59&lt;50%,C68,IF(AND(F59&gt;50%,F59&lt;75%),D68,IF(AND(F59&gt;75%,F59&lt;95%),E68,IF(F59=100%,F68,IF(AND(F59&gt;100%,F59&lt;105%),G68,IF(AND(F59&gt;105%,F59&lt;125%),H68,IF(F59&gt;125%,I68)))))))</f>
        <v>40</v>
      </c>
    </row>
    <row r="64" spans="2:9" x14ac:dyDescent="0.25">
      <c r="C64" s="248" t="s">
        <v>125</v>
      </c>
      <c r="D64" s="249"/>
      <c r="E64" s="249"/>
      <c r="F64" s="249"/>
      <c r="G64" s="249"/>
      <c r="H64" s="249"/>
      <c r="I64" s="250"/>
    </row>
    <row r="65" spans="2:9" x14ac:dyDescent="0.25">
      <c r="B65" s="74" t="s">
        <v>126</v>
      </c>
      <c r="C65" s="251" t="s">
        <v>62</v>
      </c>
      <c r="D65" s="251"/>
      <c r="E65" s="251"/>
      <c r="F65" s="251" t="s">
        <v>64</v>
      </c>
      <c r="G65" s="251" t="s">
        <v>63</v>
      </c>
      <c r="H65" s="251"/>
      <c r="I65" s="251"/>
    </row>
    <row r="66" spans="2:9" x14ac:dyDescent="0.25">
      <c r="B66" s="74" t="s">
        <v>61</v>
      </c>
      <c r="C66" s="251"/>
      <c r="D66" s="251"/>
      <c r="E66" s="251"/>
      <c r="F66" s="251"/>
      <c r="G66" s="251"/>
      <c r="H66" s="251"/>
      <c r="I66" s="251"/>
    </row>
    <row r="67" spans="2:9" x14ac:dyDescent="0.25">
      <c r="C67" s="75" t="s">
        <v>127</v>
      </c>
      <c r="D67" s="75" t="s">
        <v>128</v>
      </c>
      <c r="E67" s="75" t="s">
        <v>129</v>
      </c>
      <c r="F67" s="75">
        <v>100</v>
      </c>
      <c r="G67" s="75" t="s">
        <v>130</v>
      </c>
      <c r="H67" s="75" t="s">
        <v>132</v>
      </c>
      <c r="I67" s="75" t="s">
        <v>131</v>
      </c>
    </row>
    <row r="68" spans="2:9" x14ac:dyDescent="0.25">
      <c r="C68" s="75">
        <v>0</v>
      </c>
      <c r="D68" s="75">
        <v>5</v>
      </c>
      <c r="E68" s="75">
        <v>10</v>
      </c>
      <c r="F68" s="75">
        <v>20</v>
      </c>
      <c r="G68" s="75">
        <v>35</v>
      </c>
      <c r="H68" s="75">
        <v>30</v>
      </c>
      <c r="I68" s="75">
        <v>40</v>
      </c>
    </row>
  </sheetData>
  <mergeCells count="17">
    <mergeCell ref="B20:I20"/>
    <mergeCell ref="B59:E59"/>
    <mergeCell ref="B60:E60"/>
    <mergeCell ref="B2:I2"/>
    <mergeCell ref="B15:B16"/>
    <mergeCell ref="B3:B4"/>
    <mergeCell ref="B7:B8"/>
    <mergeCell ref="B5:B6"/>
    <mergeCell ref="B11:B12"/>
    <mergeCell ref="B9:B10"/>
    <mergeCell ref="B13:B14"/>
    <mergeCell ref="C64:I64"/>
    <mergeCell ref="G65:I66"/>
    <mergeCell ref="F52:F58"/>
    <mergeCell ref="F35:F50"/>
    <mergeCell ref="C65:E66"/>
    <mergeCell ref="F65:F66"/>
  </mergeCells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48" t="s">
        <v>125</v>
      </c>
      <c r="C3" s="249"/>
      <c r="D3" s="249"/>
      <c r="E3" s="249"/>
      <c r="F3" s="249"/>
      <c r="G3" s="249"/>
      <c r="H3" s="250"/>
    </row>
    <row r="4" spans="1:8" x14ac:dyDescent="0.25">
      <c r="A4" s="74" t="s">
        <v>126</v>
      </c>
      <c r="B4" s="251" t="s">
        <v>62</v>
      </c>
      <c r="C4" s="251"/>
      <c r="D4" s="251"/>
      <c r="E4" s="251" t="s">
        <v>64</v>
      </c>
      <c r="F4" s="251" t="s">
        <v>63</v>
      </c>
      <c r="G4" s="251"/>
      <c r="H4" s="251"/>
    </row>
    <row r="5" spans="1:8" x14ac:dyDescent="0.25">
      <c r="A5" s="74" t="s">
        <v>61</v>
      </c>
      <c r="B5" s="251"/>
      <c r="C5" s="251"/>
      <c r="D5" s="251"/>
      <c r="E5" s="251"/>
      <c r="F5" s="251"/>
      <c r="G5" s="251"/>
      <c r="H5" s="251"/>
    </row>
    <row r="6" spans="1:8" x14ac:dyDescent="0.25">
      <c r="B6" s="75" t="s">
        <v>127</v>
      </c>
      <c r="C6" s="75" t="s">
        <v>128</v>
      </c>
      <c r="D6" s="75" t="s">
        <v>129</v>
      </c>
      <c r="E6" s="75">
        <v>100</v>
      </c>
      <c r="F6" s="75" t="s">
        <v>130</v>
      </c>
      <c r="G6" s="75" t="s">
        <v>132</v>
      </c>
      <c r="H6" s="75" t="s">
        <v>131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72" t="s">
        <v>23</v>
      </c>
      <c r="C10" s="73" t="s">
        <v>96</v>
      </c>
      <c r="D10" s="73" t="s">
        <v>97</v>
      </c>
      <c r="E10" s="58" t="s">
        <v>98</v>
      </c>
    </row>
    <row r="11" spans="1:8" x14ac:dyDescent="0.25">
      <c r="B11" s="272"/>
      <c r="C11" s="59">
        <v>2000</v>
      </c>
      <c r="D11" s="59">
        <v>500</v>
      </c>
      <c r="E11" s="59">
        <v>1000</v>
      </c>
    </row>
    <row r="14" spans="1:8" x14ac:dyDescent="0.25">
      <c r="B14" s="84" t="s">
        <v>133</v>
      </c>
      <c r="C14" s="84" t="s">
        <v>99</v>
      </c>
      <c r="D14" s="84" t="s">
        <v>100</v>
      </c>
      <c r="E14" s="84" t="s">
        <v>101</v>
      </c>
      <c r="F14" s="84"/>
    </row>
    <row r="15" spans="1:8" x14ac:dyDescent="0.25">
      <c r="B15" s="81" t="str">
        <f>E29</f>
        <v>Accot  Stabilise</v>
      </c>
      <c r="C15" s="81">
        <v>0</v>
      </c>
      <c r="D15" s="82">
        <f>E30</f>
        <v>35</v>
      </c>
      <c r="E15" s="81">
        <f>C15*D15</f>
        <v>0</v>
      </c>
      <c r="F15" s="81"/>
    </row>
    <row r="16" spans="1:8" x14ac:dyDescent="0.25">
      <c r="B16" s="84" t="s">
        <v>134</v>
      </c>
      <c r="C16" s="84" t="s">
        <v>102</v>
      </c>
      <c r="D16" s="84" t="s">
        <v>103</v>
      </c>
      <c r="E16" s="84" t="s">
        <v>104</v>
      </c>
      <c r="F16" s="84" t="s">
        <v>148</v>
      </c>
    </row>
    <row r="17" spans="2:10" x14ac:dyDescent="0.25">
      <c r="B17" s="81" t="s">
        <v>46</v>
      </c>
      <c r="C17" s="81" t="str">
        <f>GC!G2</f>
        <v>Axe mi-chaussee</v>
      </c>
      <c r="D17" s="81">
        <f>D32</f>
        <v>35</v>
      </c>
      <c r="E17" s="81" t="e">
        <f>C17*D17</f>
        <v>#VALUE!</v>
      </c>
      <c r="F17" s="81" t="e">
        <f>E15+E17+E19</f>
        <v>#VALUE!</v>
      </c>
      <c r="J17" s="27"/>
    </row>
    <row r="18" spans="2:10" x14ac:dyDescent="0.25">
      <c r="B18" s="84" t="s">
        <v>135</v>
      </c>
      <c r="C18" s="84" t="s">
        <v>105</v>
      </c>
      <c r="D18" s="84" t="s">
        <v>106</v>
      </c>
      <c r="E18" s="84" t="s">
        <v>107</v>
      </c>
      <c r="F18" s="84" t="s">
        <v>108</v>
      </c>
      <c r="G18" s="60" t="s">
        <v>109</v>
      </c>
    </row>
    <row r="19" spans="2:10" x14ac:dyDescent="0.25">
      <c r="B19" s="81" t="s">
        <v>136</v>
      </c>
      <c r="C19" s="81">
        <f>Synthèse!N2</f>
        <v>3994</v>
      </c>
      <c r="D19" s="82">
        <f>C11</f>
        <v>2000</v>
      </c>
      <c r="E19" s="81">
        <f>C19*D19</f>
        <v>7988000</v>
      </c>
      <c r="F19" s="81" t="e">
        <f>E23</f>
        <v>#VALUE!</v>
      </c>
      <c r="G19" s="61"/>
    </row>
    <row r="20" spans="2:10" x14ac:dyDescent="0.25">
      <c r="B20" s="81" t="s">
        <v>137</v>
      </c>
      <c r="C20" s="81"/>
      <c r="D20" s="82">
        <v>500</v>
      </c>
      <c r="E20" s="81"/>
      <c r="F20" s="81"/>
      <c r="G20" s="61"/>
    </row>
    <row r="21" spans="2:10" x14ac:dyDescent="0.25">
      <c r="B21" s="81" t="s">
        <v>138</v>
      </c>
      <c r="C21" s="81"/>
      <c r="D21" s="82">
        <v>1000</v>
      </c>
      <c r="E21" s="81"/>
      <c r="F21" s="81"/>
      <c r="G21" s="61"/>
    </row>
    <row r="22" spans="2:10" x14ac:dyDescent="0.25">
      <c r="B22" s="84" t="s">
        <v>110</v>
      </c>
      <c r="C22" s="84" t="s">
        <v>111</v>
      </c>
      <c r="D22" s="84" t="s">
        <v>112</v>
      </c>
      <c r="E22" s="84" t="s">
        <v>113</v>
      </c>
      <c r="F22" s="84" t="s">
        <v>114</v>
      </c>
    </row>
    <row r="23" spans="2:10" x14ac:dyDescent="0.25">
      <c r="B23" s="81" t="s">
        <v>115</v>
      </c>
      <c r="C23" s="81" t="e">
        <f>SUM(C17+C15)</f>
        <v>#VALUE!</v>
      </c>
      <c r="D23" s="82">
        <v>75</v>
      </c>
      <c r="E23" s="81" t="e">
        <f>C23*D23</f>
        <v>#VALUE!</v>
      </c>
      <c r="F23" s="83" t="e">
        <f>(F19/F17)</f>
        <v>#VALUE!</v>
      </c>
    </row>
    <row r="25" spans="2:10" ht="15.75" thickBot="1" x14ac:dyDescent="0.3"/>
    <row r="26" spans="2:10" ht="15.75" thickBot="1" x14ac:dyDescent="0.3">
      <c r="B26" s="255" t="s">
        <v>3</v>
      </c>
      <c r="C26" s="256"/>
      <c r="D26" s="256"/>
      <c r="E26" s="256"/>
      <c r="F26" s="256"/>
      <c r="G26" s="256"/>
      <c r="H26" s="256"/>
      <c r="I26" s="257"/>
    </row>
    <row r="27" spans="2:10" ht="15.75" thickBot="1" x14ac:dyDescent="0.3">
      <c r="B27" s="273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71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73" t="s">
        <v>27</v>
      </c>
      <c r="C29" s="62" t="s">
        <v>116</v>
      </c>
      <c r="D29" s="66" t="s">
        <v>117</v>
      </c>
      <c r="E29" s="66" t="s">
        <v>118</v>
      </c>
      <c r="F29" s="66" t="s">
        <v>119</v>
      </c>
      <c r="G29" s="66" t="s">
        <v>120</v>
      </c>
      <c r="H29" s="66" t="s">
        <v>121</v>
      </c>
      <c r="I29" s="67" t="s">
        <v>122</v>
      </c>
    </row>
    <row r="30" spans="2:10" ht="15.75" thickBot="1" x14ac:dyDescent="0.3">
      <c r="B30" s="274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70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71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2017-11-02T13:13:19Z</cp:lastPrinted>
  <dcterms:created xsi:type="dcterms:W3CDTF">2017-10-27T08:52:42Z</dcterms:created>
  <dcterms:modified xsi:type="dcterms:W3CDTF">2018-01-11T16:02:20Z</dcterms:modified>
</cp:coreProperties>
</file>